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W:\GTO_SSO_FUNDSERVICES_GSSCKL\10. CLIENT PORTFOLIO-VN\10.01 CHUBB\2. Reports\2021\6. Jun\HALF YEAR\FMS\"/>
    </mc:Choice>
  </mc:AlternateContent>
  <xr:revisionPtr revIDLastSave="0" documentId="13_ncr:1_{BD7457CB-64A8-4E91-9C8E-BB40432CE2B0}" xr6:coauthVersionLast="45" xr6:coauthVersionMax="45" xr10:uidLastSave="{00000000-0000-0000-0000-000000000000}"/>
  <bookViews>
    <workbookView xWindow="-110" yWindow="-110" windowWidth="19420" windowHeight="10420" firstSheet="2" activeTab="5" xr2:uid="{00000000-000D-0000-FFFF-FFFF00000000}"/>
  </bookViews>
  <sheets>
    <sheet name="Tong quat" sheetId="1" r:id="rId1"/>
    <sheet name="BCThuNhap_06203" sheetId="2" r:id="rId2"/>
    <sheet name="BCTinhHinhTaiChinh_06105" sheetId="3" r:id="rId3"/>
    <sheet name="BCLCTT_06106" sheetId="4" r:id="rId4"/>
    <sheet name="GTTSRong_06107" sheetId="5" r:id="rId5"/>
    <sheet name="BCDMDT_06108" sheetId="6" r:id="rId6"/>
    <sheet name="BCLCGT_06262" sheetId="7" r:id="rId7"/>
    <sheet name="SheetHidden" sheetId="8" state="hidden"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8" l="1"/>
  <c r="A2" i="8"/>
  <c r="A3" i="8"/>
  <c r="A4" i="8"/>
  <c r="A5" i="8"/>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A120" i="8"/>
  <c r="A121" i="8"/>
  <c r="A122" i="8"/>
  <c r="A123" i="8"/>
  <c r="A124" i="8"/>
  <c r="A125" i="8"/>
  <c r="A126" i="8"/>
  <c r="A127" i="8"/>
  <c r="A128" i="8"/>
  <c r="A129" i="8"/>
  <c r="A130" i="8"/>
  <c r="A131" i="8"/>
  <c r="A132" i="8"/>
  <c r="A133" i="8"/>
  <c r="A134" i="8"/>
  <c r="A135" i="8"/>
  <c r="A136" i="8"/>
  <c r="A137" i="8"/>
  <c r="A138" i="8"/>
  <c r="A139" i="8"/>
  <c r="A140" i="8"/>
  <c r="A141" i="8"/>
  <c r="A142" i="8"/>
  <c r="A143" i="8"/>
  <c r="A144" i="8"/>
  <c r="A145" i="8"/>
  <c r="A146" i="8"/>
  <c r="A147" i="8"/>
  <c r="A148" i="8"/>
  <c r="A149" i="8"/>
  <c r="A150" i="8"/>
  <c r="A151" i="8"/>
  <c r="A152" i="8"/>
  <c r="A153" i="8"/>
  <c r="A154" i="8"/>
  <c r="A155" i="8"/>
  <c r="A156" i="8"/>
  <c r="A157" i="8"/>
  <c r="A158" i="8"/>
  <c r="A159" i="8"/>
  <c r="A160" i="8"/>
  <c r="A161" i="8"/>
  <c r="A162" i="8"/>
  <c r="A163" i="8"/>
  <c r="A164" i="8"/>
  <c r="A165" i="8"/>
  <c r="A166" i="8"/>
  <c r="A167" i="8"/>
  <c r="A168" i="8"/>
  <c r="A169" i="8"/>
  <c r="A170" i="8"/>
  <c r="A171" i="8"/>
  <c r="A172" i="8"/>
  <c r="A173" i="8"/>
  <c r="A174" i="8"/>
  <c r="A175" i="8"/>
  <c r="A176" i="8"/>
  <c r="A177" i="8"/>
  <c r="A178" i="8"/>
  <c r="A179" i="8"/>
  <c r="A180" i="8"/>
  <c r="A181" i="8"/>
  <c r="A182" i="8"/>
  <c r="A183" i="8"/>
  <c r="A184" i="8"/>
  <c r="A185" i="8"/>
  <c r="A186" i="8"/>
  <c r="A187" i="8"/>
  <c r="A188" i="8"/>
  <c r="A189" i="8"/>
  <c r="A190" i="8"/>
  <c r="A191" i="8"/>
  <c r="A192" i="8"/>
  <c r="A193" i="8"/>
  <c r="A194" i="8"/>
  <c r="A195" i="8"/>
  <c r="A196" i="8"/>
  <c r="A197" i="8"/>
  <c r="A198" i="8"/>
  <c r="A199" i="8"/>
  <c r="A200" i="8"/>
  <c r="A201" i="8"/>
  <c r="A202" i="8"/>
  <c r="A203" i="8"/>
  <c r="A204" i="8"/>
  <c r="A205" i="8"/>
  <c r="A206" i="8"/>
  <c r="A207" i="8"/>
  <c r="A208" i="8"/>
  <c r="A209" i="8"/>
  <c r="A210" i="8"/>
  <c r="A211" i="8"/>
  <c r="A212" i="8"/>
  <c r="A213" i="8"/>
  <c r="A214" i="8"/>
  <c r="A215" i="8"/>
  <c r="A216" i="8"/>
  <c r="A217" i="8"/>
  <c r="A218" i="8"/>
  <c r="A219" i="8"/>
  <c r="A220" i="8"/>
  <c r="A221" i="8"/>
  <c r="A222" i="8"/>
  <c r="A223" i="8"/>
  <c r="A224" i="8"/>
  <c r="A225" i="8"/>
  <c r="A226" i="8"/>
  <c r="A227" i="8"/>
  <c r="A228" i="8"/>
  <c r="A229" i="8"/>
  <c r="A230" i="8"/>
  <c r="A231" i="8"/>
  <c r="A232" i="8"/>
  <c r="A233" i="8"/>
  <c r="A234" i="8"/>
  <c r="A235" i="8"/>
  <c r="A236" i="8"/>
  <c r="A237" i="8"/>
  <c r="A238" i="8"/>
  <c r="A239" i="8"/>
  <c r="A240" i="8"/>
  <c r="A241" i="8"/>
  <c r="A242" i="8"/>
  <c r="A243" i="8"/>
  <c r="A244" i="8"/>
  <c r="A245" i="8"/>
  <c r="A246" i="8"/>
  <c r="A247" i="8"/>
  <c r="A248" i="8"/>
  <c r="A249" i="8"/>
  <c r="A250" i="8"/>
  <c r="A251" i="8"/>
  <c r="A252" i="8"/>
  <c r="A253" i="8"/>
  <c r="A254" i="8"/>
  <c r="A255" i="8"/>
  <c r="A256" i="8"/>
  <c r="A257" i="8"/>
  <c r="A258" i="8"/>
  <c r="A259" i="8"/>
  <c r="A260" i="8"/>
  <c r="A261" i="8"/>
  <c r="A262" i="8"/>
  <c r="A263" i="8"/>
  <c r="A264" i="8"/>
  <c r="A265" i="8"/>
  <c r="A266" i="8"/>
  <c r="A267" i="8"/>
  <c r="A268" i="8"/>
  <c r="A269" i="8"/>
  <c r="A270" i="8"/>
  <c r="A271" i="8"/>
  <c r="A272" i="8"/>
  <c r="A273" i="8"/>
  <c r="A274" i="8"/>
  <c r="A275" i="8"/>
  <c r="A276" i="8"/>
  <c r="A277" i="8"/>
  <c r="A278" i="8"/>
  <c r="A279" i="8"/>
  <c r="A280" i="8"/>
  <c r="A281" i="8"/>
  <c r="A282" i="8"/>
  <c r="A283" i="8"/>
  <c r="A284" i="8"/>
  <c r="A285" i="8"/>
  <c r="A286" i="8"/>
  <c r="A287" i="8"/>
  <c r="A288" i="8"/>
  <c r="A289" i="8"/>
  <c r="A290" i="8"/>
  <c r="A291" i="8"/>
  <c r="A292" i="8"/>
  <c r="A293" i="8"/>
  <c r="A294" i="8"/>
  <c r="A295" i="8"/>
  <c r="A296" i="8"/>
  <c r="A297" i="8"/>
  <c r="A298" i="8"/>
  <c r="A299" i="8"/>
  <c r="A300" i="8"/>
  <c r="A301" i="8"/>
  <c r="A302" i="8"/>
  <c r="A303" i="8"/>
  <c r="A304" i="8"/>
  <c r="A305" i="8"/>
  <c r="A306" i="8"/>
  <c r="A307" i="8"/>
  <c r="A308" i="8"/>
  <c r="A309" i="8"/>
  <c r="A310" i="8"/>
  <c r="A311" i="8"/>
  <c r="A312" i="8"/>
  <c r="A313" i="8"/>
  <c r="A314" i="8"/>
  <c r="A315" i="8"/>
  <c r="A316" i="8"/>
  <c r="A317" i="8"/>
  <c r="A318" i="8"/>
  <c r="A319" i="8"/>
  <c r="A320" i="8"/>
  <c r="A321" i="8"/>
  <c r="A322" i="8"/>
  <c r="A323" i="8"/>
  <c r="A324" i="8"/>
  <c r="A325" i="8"/>
  <c r="A326" i="8"/>
  <c r="A327" i="8"/>
  <c r="A328" i="8"/>
  <c r="A329" i="8"/>
  <c r="A330" i="8"/>
  <c r="A331" i="8"/>
  <c r="A332" i="8"/>
  <c r="A333" i="8"/>
  <c r="A334" i="8"/>
  <c r="A335" i="8"/>
  <c r="A336" i="8"/>
  <c r="A337" i="8"/>
  <c r="A338" i="8"/>
  <c r="A339" i="8"/>
  <c r="A340" i="8"/>
  <c r="A341" i="8"/>
  <c r="A342" i="8"/>
  <c r="A343" i="8"/>
  <c r="A344" i="8"/>
  <c r="A345" i="8"/>
  <c r="A346" i="8"/>
  <c r="A347" i="8"/>
  <c r="A348" i="8"/>
  <c r="A349" i="8"/>
  <c r="A350" i="8"/>
  <c r="A351" i="8"/>
  <c r="A352" i="8"/>
  <c r="A353" i="8"/>
  <c r="A354" i="8"/>
  <c r="A355" i="8"/>
  <c r="A356" i="8"/>
  <c r="A357" i="8"/>
  <c r="A358" i="8"/>
  <c r="A359" i="8"/>
  <c r="A360" i="8"/>
  <c r="A361" i="8"/>
  <c r="A362" i="8"/>
  <c r="A363" i="8"/>
  <c r="A364" i="8"/>
  <c r="A365" i="8"/>
  <c r="A366" i="8"/>
  <c r="A367" i="8"/>
  <c r="A368" i="8"/>
  <c r="A369" i="8"/>
  <c r="A370" i="8"/>
  <c r="A371" i="8"/>
  <c r="A372" i="8"/>
  <c r="A373" i="8"/>
  <c r="A374" i="8"/>
  <c r="A375" i="8"/>
  <c r="A376" i="8"/>
  <c r="A377" i="8"/>
  <c r="A378" i="8"/>
  <c r="A379" i="8"/>
  <c r="A380" i="8"/>
  <c r="A381" i="8"/>
  <c r="A382" i="8"/>
  <c r="A383" i="8"/>
  <c r="A384" i="8"/>
  <c r="A385" i="8"/>
  <c r="A386" i="8"/>
  <c r="A387" i="8"/>
  <c r="A388" i="8"/>
  <c r="A389" i="8"/>
  <c r="A390" i="8"/>
  <c r="A391" i="8"/>
  <c r="A392" i="8"/>
  <c r="A393" i="8"/>
  <c r="A394" i="8"/>
  <c r="A395" i="8"/>
  <c r="A396" i="8"/>
  <c r="A397" i="8"/>
  <c r="A398" i="8"/>
  <c r="A399" i="8"/>
  <c r="A400" i="8"/>
  <c r="A401" i="8"/>
  <c r="A402" i="8"/>
  <c r="A403" i="8"/>
  <c r="A404" i="8"/>
  <c r="A405" i="8"/>
  <c r="A406" i="8"/>
  <c r="A407" i="8"/>
  <c r="A408" i="8"/>
  <c r="A409" i="8"/>
  <c r="A410" i="8"/>
  <c r="A411" i="8"/>
  <c r="A412" i="8"/>
  <c r="A413" i="8"/>
  <c r="A414" i="8"/>
  <c r="A415" i="8"/>
  <c r="A416" i="8"/>
  <c r="A417" i="8"/>
  <c r="A418" i="8"/>
  <c r="A419" i="8"/>
  <c r="A420" i="8"/>
  <c r="A421" i="8"/>
  <c r="A422" i="8"/>
  <c r="A423" i="8"/>
  <c r="A424" i="8"/>
  <c r="A425" i="8"/>
  <c r="A426" i="8"/>
  <c r="A427" i="8"/>
  <c r="A428" i="8"/>
  <c r="A429" i="8"/>
  <c r="A430" i="8"/>
  <c r="A431" i="8"/>
  <c r="A432" i="8"/>
  <c r="A433" i="8"/>
  <c r="A434" i="8"/>
  <c r="A435" i="8"/>
  <c r="A436" i="8"/>
  <c r="A437" i="8"/>
  <c r="A438" i="8"/>
  <c r="A439" i="8"/>
  <c r="A440" i="8"/>
  <c r="A441" i="8"/>
  <c r="A442" i="8"/>
  <c r="A443" i="8"/>
  <c r="A444" i="8"/>
  <c r="A445" i="8"/>
  <c r="A446" i="8"/>
  <c r="A447" i="8"/>
  <c r="A448" i="8"/>
  <c r="A449" i="8"/>
  <c r="A450" i="8"/>
  <c r="A451" i="8"/>
  <c r="A452" i="8"/>
  <c r="A453" i="8"/>
  <c r="A454" i="8"/>
  <c r="A455" i="8"/>
  <c r="A456" i="8"/>
  <c r="A457" i="8"/>
  <c r="A458" i="8"/>
  <c r="A459" i="8"/>
  <c r="A460" i="8"/>
  <c r="A461" i="8"/>
  <c r="A462" i="8"/>
  <c r="A463" i="8"/>
  <c r="A464" i="8"/>
  <c r="A465" i="8"/>
  <c r="A466" i="8"/>
  <c r="A467" i="8"/>
  <c r="A468" i="8"/>
  <c r="A469" i="8"/>
  <c r="A470" i="8"/>
  <c r="A471" i="8"/>
  <c r="A472" i="8"/>
  <c r="A473" i="8"/>
  <c r="A474" i="8"/>
  <c r="A475" i="8"/>
  <c r="A476" i="8"/>
  <c r="A477" i="8"/>
  <c r="A478" i="8"/>
  <c r="A479" i="8"/>
  <c r="A480" i="8"/>
  <c r="A481" i="8"/>
  <c r="A482" i="8"/>
  <c r="A483" i="8"/>
  <c r="A484" i="8"/>
  <c r="A485" i="8"/>
  <c r="A486" i="8"/>
  <c r="A487" i="8"/>
  <c r="A488" i="8"/>
  <c r="A489" i="8"/>
  <c r="A490" i="8"/>
  <c r="A491" i="8"/>
  <c r="A492" i="8"/>
  <c r="A493" i="8"/>
  <c r="A494" i="8"/>
  <c r="A495" i="8"/>
  <c r="A496" i="8"/>
  <c r="A497" i="8"/>
  <c r="A498" i="8"/>
  <c r="A499" i="8"/>
  <c r="A500" i="8"/>
  <c r="A501" i="8"/>
  <c r="A502" i="8"/>
  <c r="A503" i="8"/>
  <c r="A504" i="8"/>
  <c r="A505" i="8"/>
  <c r="A506" i="8"/>
  <c r="A507" i="8"/>
  <c r="A508" i="8"/>
  <c r="A509" i="8"/>
  <c r="A510" i="8"/>
  <c r="A511" i="8"/>
  <c r="A512" i="8"/>
  <c r="A513" i="8"/>
  <c r="A514" i="8"/>
  <c r="A515" i="8"/>
  <c r="A516" i="8"/>
  <c r="A517" i="8"/>
  <c r="A518" i="8"/>
  <c r="A519" i="8"/>
  <c r="A520" i="8"/>
  <c r="A521" i="8"/>
  <c r="A522" i="8"/>
  <c r="A523" i="8"/>
  <c r="A524" i="8"/>
  <c r="A525" i="8"/>
  <c r="A526" i="8"/>
  <c r="A527" i="8"/>
  <c r="A528" i="8"/>
  <c r="A529" i="8"/>
  <c r="A530" i="8"/>
  <c r="A531" i="8"/>
  <c r="A532" i="8"/>
  <c r="A533" i="8"/>
  <c r="A534" i="8"/>
  <c r="A535" i="8"/>
  <c r="A536" i="8"/>
  <c r="A537" i="8"/>
  <c r="A538" i="8"/>
  <c r="A539" i="8"/>
  <c r="A540" i="8"/>
  <c r="A541" i="8"/>
  <c r="A542" i="8"/>
  <c r="A543" i="8"/>
  <c r="A544" i="8"/>
  <c r="A545" i="8"/>
  <c r="A546" i="8"/>
  <c r="A547" i="8"/>
  <c r="A548" i="8"/>
  <c r="A549" i="8"/>
  <c r="A550" i="8"/>
  <c r="A551" i="8"/>
  <c r="A552" i="8"/>
  <c r="A553" i="8"/>
  <c r="A554" i="8"/>
  <c r="A555" i="8"/>
  <c r="A556" i="8"/>
  <c r="A557" i="8"/>
  <c r="A558" i="8"/>
  <c r="A559" i="8"/>
  <c r="A560" i="8"/>
  <c r="A561" i="8"/>
  <c r="A562" i="8"/>
  <c r="A563" i="8"/>
  <c r="A564" i="8"/>
  <c r="A565" i="8"/>
  <c r="A566" i="8"/>
  <c r="A567" i="8"/>
  <c r="A568" i="8"/>
  <c r="A569" i="8"/>
  <c r="A570" i="8"/>
  <c r="A571" i="8"/>
  <c r="A572" i="8"/>
  <c r="A573" i="8"/>
  <c r="A574" i="8"/>
  <c r="A575" i="8"/>
  <c r="A576" i="8"/>
  <c r="A577" i="8"/>
  <c r="A578" i="8"/>
  <c r="A579" i="8"/>
  <c r="A580" i="8"/>
  <c r="A581" i="8"/>
  <c r="A582" i="8"/>
  <c r="A583" i="8"/>
  <c r="A584" i="8"/>
  <c r="A585" i="8"/>
  <c r="A586" i="8"/>
  <c r="A587" i="8"/>
  <c r="A588" i="8"/>
  <c r="A589" i="8"/>
  <c r="A590" i="8"/>
  <c r="A591" i="8"/>
  <c r="A592" i="8"/>
  <c r="A593" i="8"/>
  <c r="A594" i="8"/>
  <c r="A595" i="8"/>
  <c r="A596" i="8"/>
  <c r="A597" i="8"/>
  <c r="A598" i="8"/>
  <c r="A599" i="8"/>
  <c r="A600" i="8"/>
  <c r="A601" i="8"/>
  <c r="A602" i="8"/>
  <c r="A603" i="8"/>
  <c r="A604" i="8"/>
  <c r="A605" i="8"/>
  <c r="A606" i="8"/>
  <c r="A607" i="8"/>
  <c r="A608" i="8"/>
  <c r="A609" i="8"/>
  <c r="A610" i="8"/>
  <c r="A611" i="8"/>
  <c r="A612" i="8"/>
  <c r="A613" i="8"/>
  <c r="A614" i="8"/>
  <c r="A615" i="8"/>
  <c r="A616" i="8"/>
  <c r="A617" i="8"/>
  <c r="A618" i="8"/>
  <c r="A619" i="8"/>
  <c r="A620" i="8"/>
  <c r="A621" i="8"/>
  <c r="A622" i="8"/>
  <c r="A623" i="8"/>
  <c r="A624" i="8"/>
  <c r="A625" i="8"/>
  <c r="A626" i="8"/>
  <c r="A627" i="8"/>
  <c r="A628" i="8"/>
  <c r="A629" i="8"/>
  <c r="A630" i="8"/>
  <c r="A631" i="8"/>
  <c r="A632" i="8"/>
  <c r="A633" i="8"/>
  <c r="A634" i="8"/>
  <c r="A63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2" authorId="0" shapeId="0" xr:uid="{00000000-0006-0000-0300-000001000000}">
      <text>
        <r>
          <rPr>
            <sz val="10"/>
            <rFont val="Arial"/>
            <family val="2"/>
          </rPr>
          <t>Ô chỉ tiêu có định dạng ký tự</t>
        </r>
      </text>
    </comment>
    <comment ref="D2" authorId="0" shapeId="0" xr:uid="{00000000-0006-0000-0300-000002000000}">
      <text>
        <r>
          <rPr>
            <sz val="10"/>
            <rFont val="Arial"/>
            <family val="2"/>
          </rPr>
          <t>Ô chỉ tiêu có định dạng số. Đơn vị tính x 1 (hoặc %)</t>
        </r>
      </text>
    </comment>
    <comment ref="E2" authorId="0" shapeId="0" xr:uid="{00000000-0006-0000-0300-000003000000}">
      <text>
        <r>
          <rPr>
            <sz val="10"/>
            <rFont val="Arial"/>
            <family val="2"/>
          </rPr>
          <t>Ô chỉ tiêu có định dạng số. Đơn vị tính x 1 (hoặc %)</t>
        </r>
      </text>
    </comment>
    <comment ref="C3" authorId="0" shapeId="0" xr:uid="{00000000-0006-0000-0300-000004000000}">
      <text>
        <r>
          <rPr>
            <sz val="10"/>
            <rFont val="Arial"/>
            <family val="2"/>
          </rPr>
          <t>Ô chỉ tiêu có định dạng ký tự</t>
        </r>
      </text>
    </comment>
    <comment ref="D3" authorId="0" shapeId="0" xr:uid="{00000000-0006-0000-0300-000005000000}">
      <text>
        <r>
          <rPr>
            <sz val="10"/>
            <rFont val="Arial"/>
            <family val="2"/>
          </rPr>
          <t>Ô chỉ tiêu có định dạng số. Đơn vị tính x 1 (hoặc %)</t>
        </r>
      </text>
    </comment>
    <comment ref="E3" authorId="0" shapeId="0" xr:uid="{00000000-0006-0000-0300-000006000000}">
      <text>
        <r>
          <rPr>
            <sz val="10"/>
            <rFont val="Arial"/>
            <family val="2"/>
          </rPr>
          <t>Ô chỉ tiêu có định dạng số. Đơn vị tính x 1 (hoặc %)</t>
        </r>
      </text>
    </comment>
    <comment ref="C4" authorId="0" shapeId="0" xr:uid="{00000000-0006-0000-0300-000007000000}">
      <text>
        <r>
          <rPr>
            <sz val="10"/>
            <rFont val="Arial"/>
            <family val="2"/>
          </rPr>
          <t>Ô chỉ tiêu có định dạng ký tự</t>
        </r>
      </text>
    </comment>
    <comment ref="D4" authorId="0" shapeId="0" xr:uid="{00000000-0006-0000-0300-000008000000}">
      <text>
        <r>
          <rPr>
            <sz val="10"/>
            <rFont val="Arial"/>
            <family val="2"/>
          </rPr>
          <t>Ô chỉ tiêu có định dạng số. Đơn vị tính x 1 (hoặc %)</t>
        </r>
      </text>
    </comment>
    <comment ref="E4" authorId="0" shapeId="0" xr:uid="{00000000-0006-0000-0300-000009000000}">
      <text>
        <r>
          <rPr>
            <sz val="10"/>
            <rFont val="Arial"/>
            <family val="2"/>
          </rPr>
          <t>Ô chỉ tiêu có định dạng số. Đơn vị tính x 1 (hoặc %)</t>
        </r>
      </text>
    </comment>
    <comment ref="C5" authorId="0" shapeId="0" xr:uid="{00000000-0006-0000-0300-00000A000000}">
      <text>
        <r>
          <rPr>
            <sz val="10"/>
            <rFont val="Arial"/>
            <family val="2"/>
          </rPr>
          <t>Ô chỉ tiêu có định dạng ký tự</t>
        </r>
      </text>
    </comment>
    <comment ref="D5" authorId="0" shapeId="0" xr:uid="{00000000-0006-0000-0300-00000B000000}">
      <text>
        <r>
          <rPr>
            <sz val="10"/>
            <rFont val="Arial"/>
            <family val="2"/>
          </rPr>
          <t>Ô chỉ tiêu có định dạng số. Đơn vị tính x 1 (hoặc %)</t>
        </r>
      </text>
    </comment>
    <comment ref="E5" authorId="0" shapeId="0" xr:uid="{00000000-0006-0000-0300-00000C000000}">
      <text>
        <r>
          <rPr>
            <sz val="10"/>
            <rFont val="Arial"/>
            <family val="2"/>
          </rPr>
          <t>Ô chỉ tiêu có định dạng số. Đơn vị tính x 1 (hoặc %)</t>
        </r>
      </text>
    </comment>
    <comment ref="C6" authorId="0" shapeId="0" xr:uid="{00000000-0006-0000-0300-00000D000000}">
      <text>
        <r>
          <rPr>
            <sz val="10"/>
            <rFont val="Arial"/>
            <family val="2"/>
          </rPr>
          <t>Ô chỉ tiêu có định dạng ký tự</t>
        </r>
      </text>
    </comment>
    <comment ref="D6" authorId="0" shapeId="0" xr:uid="{00000000-0006-0000-0300-00000E000000}">
      <text>
        <r>
          <rPr>
            <sz val="10"/>
            <rFont val="Arial"/>
            <family val="2"/>
          </rPr>
          <t>Ô chỉ tiêu có định dạng số. Đơn vị tính x 1 (hoặc %)</t>
        </r>
      </text>
    </comment>
    <comment ref="E6" authorId="0" shapeId="0" xr:uid="{00000000-0006-0000-0300-00000F000000}">
      <text>
        <r>
          <rPr>
            <sz val="10"/>
            <rFont val="Arial"/>
            <family val="2"/>
          </rPr>
          <t>Ô chỉ tiêu có định dạng số. Đơn vị tính x 1 (hoặc %)</t>
        </r>
      </text>
    </comment>
    <comment ref="C7" authorId="0" shapeId="0" xr:uid="{00000000-0006-0000-0300-000010000000}">
      <text>
        <r>
          <rPr>
            <sz val="10"/>
            <rFont val="Arial"/>
            <family val="2"/>
          </rPr>
          <t>Ô chỉ tiêu có định dạng ký tự</t>
        </r>
      </text>
    </comment>
    <comment ref="D7" authorId="0" shapeId="0" xr:uid="{00000000-0006-0000-0300-000011000000}">
      <text>
        <r>
          <rPr>
            <sz val="10"/>
            <rFont val="Arial"/>
            <family val="2"/>
          </rPr>
          <t>Ô chỉ tiêu có định dạng số. Đơn vị tính x 1 (hoặc %)</t>
        </r>
      </text>
    </comment>
    <comment ref="E7" authorId="0" shapeId="0" xr:uid="{00000000-0006-0000-0300-000012000000}">
      <text>
        <r>
          <rPr>
            <sz val="10"/>
            <rFont val="Arial"/>
            <family val="2"/>
          </rPr>
          <t>Ô chỉ tiêu có định dạng số. Đơn vị tính x 1 (hoặc %)</t>
        </r>
      </text>
    </comment>
    <comment ref="C8" authorId="0" shapeId="0" xr:uid="{00000000-0006-0000-0300-000013000000}">
      <text>
        <r>
          <rPr>
            <sz val="10"/>
            <rFont val="Arial"/>
            <family val="2"/>
          </rPr>
          <t>Ô chỉ tiêu có định dạng ký tự</t>
        </r>
      </text>
    </comment>
    <comment ref="D8" authorId="0" shapeId="0" xr:uid="{00000000-0006-0000-0300-000014000000}">
      <text>
        <r>
          <rPr>
            <sz val="10"/>
            <rFont val="Arial"/>
            <family val="2"/>
          </rPr>
          <t>Ô chỉ tiêu có định dạng số. Đơn vị tính x 1 (hoặc %)</t>
        </r>
      </text>
    </comment>
    <comment ref="E8" authorId="0" shapeId="0" xr:uid="{00000000-0006-0000-0300-000015000000}">
      <text>
        <r>
          <rPr>
            <sz val="10"/>
            <rFont val="Arial"/>
            <family val="2"/>
          </rPr>
          <t>Ô chỉ tiêu có định dạng số. Đơn vị tính x 1 (hoặc %)</t>
        </r>
      </text>
    </comment>
    <comment ref="C9" authorId="0" shapeId="0" xr:uid="{00000000-0006-0000-0300-000016000000}">
      <text>
        <r>
          <rPr>
            <sz val="10"/>
            <rFont val="Arial"/>
            <family val="2"/>
          </rPr>
          <t>Ô chỉ tiêu có định dạng ký tự</t>
        </r>
      </text>
    </comment>
    <comment ref="D9" authorId="0" shapeId="0" xr:uid="{00000000-0006-0000-0300-000017000000}">
      <text>
        <r>
          <rPr>
            <sz val="10"/>
            <rFont val="Arial"/>
            <family val="2"/>
          </rPr>
          <t>Ô chỉ tiêu có định dạng số. Đơn vị tính x 1 (hoặc %)</t>
        </r>
      </text>
    </comment>
    <comment ref="E9" authorId="0" shapeId="0" xr:uid="{00000000-0006-0000-0300-000018000000}">
      <text>
        <r>
          <rPr>
            <sz val="10"/>
            <rFont val="Arial"/>
            <family val="2"/>
          </rPr>
          <t>Ô chỉ tiêu có định dạng số. Đơn vị tính x 1 (hoặc %)</t>
        </r>
      </text>
    </comment>
    <comment ref="C10" authorId="0" shapeId="0" xr:uid="{00000000-0006-0000-0300-000019000000}">
      <text>
        <r>
          <rPr>
            <sz val="10"/>
            <rFont val="Arial"/>
            <family val="2"/>
          </rPr>
          <t>Ô chỉ tiêu có định dạng ký tự</t>
        </r>
      </text>
    </comment>
    <comment ref="D10" authorId="0" shapeId="0" xr:uid="{00000000-0006-0000-0300-00001A000000}">
      <text>
        <r>
          <rPr>
            <sz val="10"/>
            <rFont val="Arial"/>
            <family val="2"/>
          </rPr>
          <t>Ô chỉ tiêu có định dạng số. Đơn vị tính x 1 (hoặc %)</t>
        </r>
      </text>
    </comment>
    <comment ref="E10" authorId="0" shapeId="0" xr:uid="{00000000-0006-0000-0300-00001B000000}">
      <text>
        <r>
          <rPr>
            <sz val="10"/>
            <rFont val="Arial"/>
            <family val="2"/>
          </rPr>
          <t>Ô chỉ tiêu có định dạng số. Đơn vị tính x 1 (hoặc %)</t>
        </r>
      </text>
    </comment>
    <comment ref="C11" authorId="0" shapeId="0" xr:uid="{00000000-0006-0000-0300-00001C000000}">
      <text>
        <r>
          <rPr>
            <sz val="10"/>
            <rFont val="Arial"/>
            <family val="2"/>
          </rPr>
          <t>Ô chỉ tiêu có định dạng ký tự</t>
        </r>
      </text>
    </comment>
    <comment ref="D11" authorId="0" shapeId="0" xr:uid="{00000000-0006-0000-0300-00001D000000}">
      <text>
        <r>
          <rPr>
            <sz val="10"/>
            <rFont val="Arial"/>
            <family val="2"/>
          </rPr>
          <t>Ô chỉ tiêu có định dạng số. Đơn vị tính x 1 (hoặc %)</t>
        </r>
      </text>
    </comment>
    <comment ref="E11" authorId="0" shapeId="0" xr:uid="{00000000-0006-0000-0300-00001E000000}">
      <text>
        <r>
          <rPr>
            <sz val="10"/>
            <rFont val="Arial"/>
            <family val="2"/>
          </rPr>
          <t>Ô chỉ tiêu có định dạng số. Đơn vị tính x 1 (hoặc %)</t>
        </r>
      </text>
    </comment>
    <comment ref="C12" authorId="0" shapeId="0" xr:uid="{00000000-0006-0000-0300-00001F000000}">
      <text>
        <r>
          <rPr>
            <sz val="10"/>
            <rFont val="Arial"/>
            <family val="2"/>
          </rPr>
          <t>Ô chỉ tiêu có định dạng ký tự</t>
        </r>
      </text>
    </comment>
    <comment ref="D12" authorId="0" shapeId="0" xr:uid="{00000000-0006-0000-0300-000020000000}">
      <text>
        <r>
          <rPr>
            <sz val="10"/>
            <rFont val="Arial"/>
            <family val="2"/>
          </rPr>
          <t>Ô chỉ tiêu có định dạng số. Đơn vị tính x 1 (hoặc %)</t>
        </r>
      </text>
    </comment>
    <comment ref="E12" authorId="0" shapeId="0" xr:uid="{00000000-0006-0000-0300-000021000000}">
      <text>
        <r>
          <rPr>
            <sz val="10"/>
            <rFont val="Arial"/>
            <family val="2"/>
          </rPr>
          <t>Ô chỉ tiêu có định dạng số. Đơn vị tính x 1 (hoặc %)</t>
        </r>
      </text>
    </comment>
    <comment ref="C13" authorId="0" shapeId="0" xr:uid="{00000000-0006-0000-0300-000022000000}">
      <text>
        <r>
          <rPr>
            <sz val="10"/>
            <rFont val="Arial"/>
            <family val="2"/>
          </rPr>
          <t>Ô chỉ tiêu có định dạng ký tự</t>
        </r>
      </text>
    </comment>
    <comment ref="D13" authorId="0" shapeId="0" xr:uid="{00000000-0006-0000-0300-000023000000}">
      <text>
        <r>
          <rPr>
            <sz val="10"/>
            <rFont val="Arial"/>
            <family val="2"/>
          </rPr>
          <t>Ô chỉ tiêu có định dạng số. Đơn vị tính x 1 (hoặc %)</t>
        </r>
      </text>
    </comment>
    <comment ref="E13" authorId="0" shapeId="0" xr:uid="{00000000-0006-0000-0300-000024000000}">
      <text>
        <r>
          <rPr>
            <sz val="10"/>
            <rFont val="Arial"/>
            <family val="2"/>
          </rPr>
          <t>Ô chỉ tiêu có định dạng số. Đơn vị tính x 1 (hoặc %)</t>
        </r>
      </text>
    </comment>
    <comment ref="C14" authorId="0" shapeId="0" xr:uid="{00000000-0006-0000-0300-000025000000}">
      <text>
        <r>
          <rPr>
            <sz val="10"/>
            <rFont val="Arial"/>
            <family val="2"/>
          </rPr>
          <t>Ô chỉ tiêu có định dạng ký tự</t>
        </r>
      </text>
    </comment>
    <comment ref="D14" authorId="0" shapeId="0" xr:uid="{00000000-0006-0000-0300-000026000000}">
      <text>
        <r>
          <rPr>
            <sz val="10"/>
            <rFont val="Arial"/>
            <family val="2"/>
          </rPr>
          <t>Ô chỉ tiêu có định dạng số. Đơn vị tính x 1 (hoặc %)</t>
        </r>
      </text>
    </comment>
    <comment ref="E14" authorId="0" shapeId="0" xr:uid="{00000000-0006-0000-0300-000027000000}">
      <text>
        <r>
          <rPr>
            <sz val="10"/>
            <rFont val="Arial"/>
            <family val="2"/>
          </rPr>
          <t>Ô chỉ tiêu có định dạng số. Đơn vị tính x 1 (hoặc %)</t>
        </r>
      </text>
    </comment>
    <comment ref="C15" authorId="0" shapeId="0" xr:uid="{00000000-0006-0000-0300-000028000000}">
      <text>
        <r>
          <rPr>
            <sz val="10"/>
            <rFont val="Arial"/>
            <family val="2"/>
          </rPr>
          <t>Ô chỉ tiêu có định dạng ký tự</t>
        </r>
      </text>
    </comment>
    <comment ref="D15" authorId="0" shapeId="0" xr:uid="{00000000-0006-0000-0300-000029000000}">
      <text>
        <r>
          <rPr>
            <sz val="10"/>
            <rFont val="Arial"/>
            <family val="2"/>
          </rPr>
          <t>Ô chỉ tiêu có định dạng số. Đơn vị tính x 1 (hoặc %)</t>
        </r>
      </text>
    </comment>
    <comment ref="E15" authorId="0" shapeId="0" xr:uid="{00000000-0006-0000-0300-00002A000000}">
      <text>
        <r>
          <rPr>
            <sz val="10"/>
            <rFont val="Arial"/>
            <family val="2"/>
          </rPr>
          <t>Ô chỉ tiêu có định dạng số. Đơn vị tính x 1 (hoặc %)</t>
        </r>
      </text>
    </comment>
    <comment ref="C16" authorId="0" shapeId="0" xr:uid="{00000000-0006-0000-0300-00002B000000}">
      <text>
        <r>
          <rPr>
            <sz val="10"/>
            <rFont val="Arial"/>
            <family val="2"/>
          </rPr>
          <t>Ô chỉ tiêu có định dạng ký tự</t>
        </r>
      </text>
    </comment>
    <comment ref="D16" authorId="0" shapeId="0" xr:uid="{00000000-0006-0000-0300-00002C000000}">
      <text>
        <r>
          <rPr>
            <sz val="10"/>
            <rFont val="Arial"/>
            <family val="2"/>
          </rPr>
          <t>Ô chỉ tiêu có định dạng số. Đơn vị tính x 1 (hoặc %)</t>
        </r>
      </text>
    </comment>
    <comment ref="E16" authorId="0" shapeId="0" xr:uid="{00000000-0006-0000-0300-00002D000000}">
      <text>
        <r>
          <rPr>
            <sz val="10"/>
            <rFont val="Arial"/>
            <family val="2"/>
          </rPr>
          <t>Ô chỉ tiêu có định dạng số. Đơn vị tính x 1 (hoặc %)</t>
        </r>
      </text>
    </comment>
    <comment ref="C17" authorId="0" shapeId="0" xr:uid="{00000000-0006-0000-0300-00002E000000}">
      <text>
        <r>
          <rPr>
            <sz val="10"/>
            <rFont val="Arial"/>
            <family val="2"/>
          </rPr>
          <t>Ô chỉ tiêu có định dạng ký tự</t>
        </r>
      </text>
    </comment>
    <comment ref="D17" authorId="0" shapeId="0" xr:uid="{00000000-0006-0000-0300-00002F000000}">
      <text>
        <r>
          <rPr>
            <sz val="10"/>
            <rFont val="Arial"/>
            <family val="2"/>
          </rPr>
          <t>Ô chỉ tiêu có định dạng số. Đơn vị tính x 1 (hoặc %)</t>
        </r>
      </text>
    </comment>
    <comment ref="E17" authorId="0" shapeId="0" xr:uid="{00000000-0006-0000-0300-000030000000}">
      <text>
        <r>
          <rPr>
            <sz val="10"/>
            <rFont val="Arial"/>
            <family val="2"/>
          </rPr>
          <t>Ô chỉ tiêu có định dạng số. Đơn vị tính x 1 (hoặc %)</t>
        </r>
      </text>
    </comment>
    <comment ref="C18" authorId="0" shapeId="0" xr:uid="{00000000-0006-0000-0300-000031000000}">
      <text>
        <r>
          <rPr>
            <sz val="10"/>
            <rFont val="Arial"/>
            <family val="2"/>
          </rPr>
          <t>Ô chỉ tiêu có định dạng ký tự</t>
        </r>
      </text>
    </comment>
    <comment ref="D18" authorId="0" shapeId="0" xr:uid="{00000000-0006-0000-0300-000032000000}">
      <text>
        <r>
          <rPr>
            <sz val="10"/>
            <rFont val="Arial"/>
            <family val="2"/>
          </rPr>
          <t>Ô chỉ tiêu có định dạng số. Đơn vị tính x 1 (hoặc %)</t>
        </r>
      </text>
    </comment>
    <comment ref="E18" authorId="0" shapeId="0" xr:uid="{00000000-0006-0000-0300-000033000000}">
      <text>
        <r>
          <rPr>
            <sz val="10"/>
            <rFont val="Arial"/>
            <family val="2"/>
          </rPr>
          <t>Ô chỉ tiêu có định dạng số. Đơn vị tính x 1 (hoặc %)</t>
        </r>
      </text>
    </comment>
    <comment ref="C19" authorId="0" shapeId="0" xr:uid="{00000000-0006-0000-0300-000034000000}">
      <text>
        <r>
          <rPr>
            <sz val="10"/>
            <rFont val="Arial"/>
            <family val="2"/>
          </rPr>
          <t>Ô chỉ tiêu có định dạng ký tự</t>
        </r>
      </text>
    </comment>
    <comment ref="D19" authorId="0" shapeId="0" xr:uid="{00000000-0006-0000-0300-000035000000}">
      <text>
        <r>
          <rPr>
            <sz val="10"/>
            <rFont val="Arial"/>
            <family val="2"/>
          </rPr>
          <t>Ô chỉ tiêu có định dạng số. Đơn vị tính x 1 (hoặc %)</t>
        </r>
      </text>
    </comment>
    <comment ref="E19" authorId="0" shapeId="0" xr:uid="{00000000-0006-0000-0300-000036000000}">
      <text>
        <r>
          <rPr>
            <sz val="10"/>
            <rFont val="Arial"/>
            <family val="2"/>
          </rPr>
          <t>Ô chỉ tiêu có định dạng số. Đơn vị tính x 1 (hoặc %)</t>
        </r>
      </text>
    </comment>
    <comment ref="C20" authorId="0" shapeId="0" xr:uid="{00000000-0006-0000-0300-000037000000}">
      <text>
        <r>
          <rPr>
            <sz val="10"/>
            <rFont val="Arial"/>
            <family val="2"/>
          </rPr>
          <t>Ô chỉ tiêu có định dạng ký tự</t>
        </r>
      </text>
    </comment>
    <comment ref="D20" authorId="0" shapeId="0" xr:uid="{00000000-0006-0000-0300-000038000000}">
      <text>
        <r>
          <rPr>
            <sz val="10"/>
            <rFont val="Arial"/>
            <family val="2"/>
          </rPr>
          <t>Ô chỉ tiêu có định dạng số. Đơn vị tính x 1 (hoặc %)</t>
        </r>
      </text>
    </comment>
    <comment ref="E20" authorId="0" shapeId="0" xr:uid="{00000000-0006-0000-0300-000039000000}">
      <text>
        <r>
          <rPr>
            <sz val="10"/>
            <rFont val="Arial"/>
            <family val="2"/>
          </rPr>
          <t>Ô chỉ tiêu có định dạng số. Đơn vị tính x 1 (hoặc %)</t>
        </r>
      </text>
    </comment>
    <comment ref="C21" authorId="0" shapeId="0" xr:uid="{00000000-0006-0000-0300-00003A000000}">
      <text>
        <r>
          <rPr>
            <sz val="10"/>
            <rFont val="Arial"/>
            <family val="2"/>
          </rPr>
          <t>Ô chỉ tiêu có định dạng ký tự</t>
        </r>
      </text>
    </comment>
    <comment ref="D21" authorId="0" shapeId="0" xr:uid="{00000000-0006-0000-0300-00003B000000}">
      <text>
        <r>
          <rPr>
            <sz val="10"/>
            <rFont val="Arial"/>
            <family val="2"/>
          </rPr>
          <t>Ô chỉ tiêu có định dạng số. Đơn vị tính x 1 (hoặc %)</t>
        </r>
      </text>
    </comment>
    <comment ref="E21" authorId="0" shapeId="0" xr:uid="{00000000-0006-0000-0300-00003C000000}">
      <text>
        <r>
          <rPr>
            <sz val="10"/>
            <rFont val="Arial"/>
            <family val="2"/>
          </rPr>
          <t>Ô chỉ tiêu có định dạng số. Đơn vị tính x 1 (hoặc %)</t>
        </r>
      </text>
    </comment>
    <comment ref="C22" authorId="0" shapeId="0" xr:uid="{00000000-0006-0000-0300-00003D000000}">
      <text>
        <r>
          <rPr>
            <sz val="10"/>
            <rFont val="Arial"/>
            <family val="2"/>
          </rPr>
          <t>Ô chỉ tiêu có định dạng ký tự</t>
        </r>
      </text>
    </comment>
    <comment ref="D22" authorId="0" shapeId="0" xr:uid="{00000000-0006-0000-0300-00003E000000}">
      <text>
        <r>
          <rPr>
            <sz val="10"/>
            <rFont val="Arial"/>
            <family val="2"/>
          </rPr>
          <t>Ô chỉ tiêu có định dạng số. Đơn vị tính x 1 (hoặc %)</t>
        </r>
      </text>
    </comment>
    <comment ref="E22" authorId="0" shapeId="0" xr:uid="{00000000-0006-0000-0300-00003F000000}">
      <text>
        <r>
          <rPr>
            <sz val="10"/>
            <rFont val="Arial"/>
            <family val="2"/>
          </rPr>
          <t>Ô chỉ tiêu có định dạng số. Đơn vị tính x 1 (hoặc %)</t>
        </r>
      </text>
    </comment>
    <comment ref="C23" authorId="0" shapeId="0" xr:uid="{00000000-0006-0000-0300-000040000000}">
      <text>
        <r>
          <rPr>
            <sz val="10"/>
            <rFont val="Arial"/>
            <family val="2"/>
          </rPr>
          <t>Ô chỉ tiêu có định dạng ký tự</t>
        </r>
      </text>
    </comment>
    <comment ref="D23" authorId="0" shapeId="0" xr:uid="{00000000-0006-0000-0300-000041000000}">
      <text>
        <r>
          <rPr>
            <sz val="10"/>
            <rFont val="Arial"/>
            <family val="2"/>
          </rPr>
          <t>Ô chỉ tiêu có định dạng số. Đơn vị tính x 1 (hoặc %)</t>
        </r>
      </text>
    </comment>
    <comment ref="E23" authorId="0" shapeId="0" xr:uid="{00000000-0006-0000-0300-000042000000}">
      <text>
        <r>
          <rPr>
            <sz val="10"/>
            <rFont val="Arial"/>
            <family val="2"/>
          </rPr>
          <t>Ô chỉ tiêu có định dạng số. Đơn vị tính x 1 (hoặc %)</t>
        </r>
      </text>
    </comment>
    <comment ref="C24" authorId="0" shapeId="0" xr:uid="{00000000-0006-0000-0300-000043000000}">
      <text>
        <r>
          <rPr>
            <sz val="10"/>
            <rFont val="Arial"/>
            <family val="2"/>
          </rPr>
          <t>Ô chỉ tiêu có định dạng ký tự</t>
        </r>
      </text>
    </comment>
    <comment ref="D24" authorId="0" shapeId="0" xr:uid="{00000000-0006-0000-0300-000044000000}">
      <text>
        <r>
          <rPr>
            <sz val="10"/>
            <rFont val="Arial"/>
            <family val="2"/>
          </rPr>
          <t>Ô chỉ tiêu có định dạng số. Đơn vị tính x 1 (hoặc %)</t>
        </r>
      </text>
    </comment>
    <comment ref="E24" authorId="0" shapeId="0" xr:uid="{00000000-0006-0000-0300-000045000000}">
      <text>
        <r>
          <rPr>
            <sz val="10"/>
            <rFont val="Arial"/>
            <family val="2"/>
          </rPr>
          <t>Ô chỉ tiêu có định dạng số. Đơn vị tính x 1 (hoặc %)</t>
        </r>
      </text>
    </comment>
    <comment ref="C25" authorId="0" shapeId="0" xr:uid="{00000000-0006-0000-0300-000046000000}">
      <text>
        <r>
          <rPr>
            <sz val="10"/>
            <rFont val="Arial"/>
            <family val="2"/>
          </rPr>
          <t>Ô chỉ tiêu có định dạng ký tự</t>
        </r>
      </text>
    </comment>
    <comment ref="D25" authorId="0" shapeId="0" xr:uid="{00000000-0006-0000-0300-000047000000}">
      <text>
        <r>
          <rPr>
            <sz val="10"/>
            <rFont val="Arial"/>
            <family val="2"/>
          </rPr>
          <t>Ô chỉ tiêu có định dạng số. Đơn vị tính x 1 (hoặc %)</t>
        </r>
      </text>
    </comment>
    <comment ref="E25" authorId="0" shapeId="0" xr:uid="{00000000-0006-0000-0300-000048000000}">
      <text>
        <r>
          <rPr>
            <sz val="10"/>
            <rFont val="Arial"/>
            <family val="2"/>
          </rPr>
          <t>Ô chỉ tiêu có định dạng số. Đơn vị tính x 1 (hoặc %)</t>
        </r>
      </text>
    </comment>
    <comment ref="C26" authorId="0" shapeId="0" xr:uid="{00000000-0006-0000-0300-000049000000}">
      <text>
        <r>
          <rPr>
            <sz val="10"/>
            <rFont val="Arial"/>
            <family val="2"/>
          </rPr>
          <t>Ô chỉ tiêu có định dạng ký tự</t>
        </r>
      </text>
    </comment>
    <comment ref="D26" authorId="0" shapeId="0" xr:uid="{00000000-0006-0000-0300-00004A000000}">
      <text>
        <r>
          <rPr>
            <sz val="10"/>
            <rFont val="Arial"/>
            <family val="2"/>
          </rPr>
          <t>Ô chỉ tiêu có định dạng số. Đơn vị tính x 1 (hoặc %)</t>
        </r>
      </text>
    </comment>
    <comment ref="E26" authorId="0" shapeId="0" xr:uid="{00000000-0006-0000-0300-00004B000000}">
      <text>
        <r>
          <rPr>
            <sz val="10"/>
            <rFont val="Arial"/>
            <family val="2"/>
          </rPr>
          <t>Ô chỉ tiêu có định dạng số. Đơn vị tính x 1 (hoặc %)</t>
        </r>
      </text>
    </comment>
    <comment ref="C27" authorId="0" shapeId="0" xr:uid="{00000000-0006-0000-0300-00004C000000}">
      <text>
        <r>
          <rPr>
            <sz val="10"/>
            <rFont val="Arial"/>
            <family val="2"/>
          </rPr>
          <t>Ô chỉ tiêu có định dạng ký tự</t>
        </r>
      </text>
    </comment>
    <comment ref="D27" authorId="0" shapeId="0" xr:uid="{00000000-0006-0000-0300-00004D000000}">
      <text>
        <r>
          <rPr>
            <sz val="10"/>
            <rFont val="Arial"/>
            <family val="2"/>
          </rPr>
          <t>Ô chỉ tiêu có định dạng số. Đơn vị tính x 1 (hoặc %)</t>
        </r>
      </text>
    </comment>
    <comment ref="E27" authorId="0" shapeId="0" xr:uid="{00000000-0006-0000-0300-00004E000000}">
      <text>
        <r>
          <rPr>
            <sz val="10"/>
            <rFont val="Arial"/>
            <family val="2"/>
          </rPr>
          <t>Ô chỉ tiêu có định dạng số. Đơn vị tính x 1 (hoặc %)</t>
        </r>
      </text>
    </comment>
    <comment ref="C28" authorId="0" shapeId="0" xr:uid="{00000000-0006-0000-0300-00004F000000}">
      <text>
        <r>
          <rPr>
            <sz val="10"/>
            <rFont val="Arial"/>
            <family val="2"/>
          </rPr>
          <t>Ô chỉ tiêu có định dạng ký tự</t>
        </r>
      </text>
    </comment>
    <comment ref="D28" authorId="0" shapeId="0" xr:uid="{00000000-0006-0000-0300-000050000000}">
      <text>
        <r>
          <rPr>
            <sz val="10"/>
            <rFont val="Arial"/>
            <family val="2"/>
          </rPr>
          <t>Ô chỉ tiêu có định dạng số. Đơn vị tính x 1 (hoặc %)</t>
        </r>
      </text>
    </comment>
    <comment ref="E28" authorId="0" shapeId="0" xr:uid="{00000000-0006-0000-0300-000051000000}">
      <text>
        <r>
          <rPr>
            <sz val="10"/>
            <rFont val="Arial"/>
            <family val="2"/>
          </rPr>
          <t>Ô chỉ tiêu có định dạng số. Đơn vị tính x 1 (hoặc %)</t>
        </r>
      </text>
    </comment>
    <comment ref="C29" authorId="0" shapeId="0" xr:uid="{00000000-0006-0000-0300-000052000000}">
      <text>
        <r>
          <rPr>
            <sz val="10"/>
            <rFont val="Arial"/>
            <family val="2"/>
          </rPr>
          <t>Ô chỉ tiêu có định dạng ký tự</t>
        </r>
      </text>
    </comment>
    <comment ref="D29" authorId="0" shapeId="0" xr:uid="{00000000-0006-0000-0300-000053000000}">
      <text>
        <r>
          <rPr>
            <sz val="10"/>
            <rFont val="Arial"/>
            <family val="2"/>
          </rPr>
          <t>Ô chỉ tiêu có định dạng số. Đơn vị tính x 1 (hoặc %)</t>
        </r>
      </text>
    </comment>
    <comment ref="E29" authorId="0" shapeId="0" xr:uid="{00000000-0006-0000-0300-000054000000}">
      <text>
        <r>
          <rPr>
            <sz val="10"/>
            <rFont val="Arial"/>
            <family val="2"/>
          </rPr>
          <t>Ô chỉ tiêu có định dạng số. Đơn vị tính x 1 (hoặc %)</t>
        </r>
      </text>
    </comment>
    <comment ref="C30" authorId="0" shapeId="0" xr:uid="{00000000-0006-0000-0300-000055000000}">
      <text>
        <r>
          <rPr>
            <sz val="10"/>
            <rFont val="Arial"/>
            <family val="2"/>
          </rPr>
          <t>Ô chỉ tiêu có định dạng ký tự</t>
        </r>
      </text>
    </comment>
    <comment ref="D30" authorId="0" shapeId="0" xr:uid="{00000000-0006-0000-0300-000056000000}">
      <text>
        <r>
          <rPr>
            <sz val="10"/>
            <rFont val="Arial"/>
            <family val="2"/>
          </rPr>
          <t>Ô chỉ tiêu có định dạng số. Đơn vị tính x 1 (hoặc %)</t>
        </r>
      </text>
    </comment>
    <comment ref="E30" authorId="0" shapeId="0" xr:uid="{00000000-0006-0000-0300-000057000000}">
      <text>
        <r>
          <rPr>
            <sz val="10"/>
            <rFont val="Arial"/>
            <family val="2"/>
          </rPr>
          <t>Ô chỉ tiêu có định dạng số. Đơn vị tính x 1 (hoặc %)</t>
        </r>
      </text>
    </comment>
    <comment ref="C31" authorId="0" shapeId="0" xr:uid="{00000000-0006-0000-0300-000058000000}">
      <text>
        <r>
          <rPr>
            <sz val="10"/>
            <rFont val="Arial"/>
            <family val="2"/>
          </rPr>
          <t>Ô chỉ tiêu có định dạng ký tự</t>
        </r>
      </text>
    </comment>
    <comment ref="D31" authorId="0" shapeId="0" xr:uid="{00000000-0006-0000-0300-000059000000}">
      <text>
        <r>
          <rPr>
            <sz val="10"/>
            <rFont val="Arial"/>
            <family val="2"/>
          </rPr>
          <t>Ô chỉ tiêu có định dạng số. Đơn vị tính x 1 (hoặc %)</t>
        </r>
      </text>
    </comment>
    <comment ref="E31" authorId="0" shapeId="0" xr:uid="{00000000-0006-0000-0300-00005A000000}">
      <text>
        <r>
          <rPr>
            <sz val="10"/>
            <rFont val="Arial"/>
            <family val="2"/>
          </rPr>
          <t>Ô chỉ tiêu có định dạng số. Đơn vị tính x 1 (hoặc %)</t>
        </r>
      </text>
    </comment>
    <comment ref="C32" authorId="0" shapeId="0" xr:uid="{00000000-0006-0000-0300-00005B000000}">
      <text>
        <r>
          <rPr>
            <sz val="10"/>
            <rFont val="Arial"/>
            <family val="2"/>
          </rPr>
          <t>Ô chỉ tiêu có định dạng ký tự</t>
        </r>
      </text>
    </comment>
    <comment ref="D32" authorId="0" shapeId="0" xr:uid="{00000000-0006-0000-0300-00005C000000}">
      <text>
        <r>
          <rPr>
            <sz val="10"/>
            <rFont val="Arial"/>
            <family val="2"/>
          </rPr>
          <t>Ô chỉ tiêu có định dạng số. Đơn vị tính x 1 (hoặc %)</t>
        </r>
      </text>
    </comment>
    <comment ref="E32" authorId="0" shapeId="0" xr:uid="{00000000-0006-0000-0300-00005D000000}">
      <text>
        <r>
          <rPr>
            <sz val="10"/>
            <rFont val="Arial"/>
            <family val="2"/>
          </rPr>
          <t>Ô chỉ tiêu có định dạng số. Đơn vị tính x 1 (hoặc %)</t>
        </r>
      </text>
    </comment>
  </commentList>
</comments>
</file>

<file path=xl/sharedStrings.xml><?xml version="1.0" encoding="utf-8"?>
<sst xmlns="http://schemas.openxmlformats.org/spreadsheetml/2006/main" count="811" uniqueCount="575">
  <si>
    <t xml:space="preserve"> </t>
  </si>
  <si>
    <t>BÁO CÁO TÀI CHÍNH QUỸ MỞ</t>
  </si>
  <si>
    <t>Thông tư 198/2012/TT-BTC</t>
  </si>
  <si>
    <t>STT</t>
  </si>
  <si>
    <t>Nội dung</t>
  </si>
  <si>
    <t>Tên sheet</t>
  </si>
  <si>
    <t>1</t>
  </si>
  <si>
    <t>Báo cáo thu nhập</t>
  </si>
  <si>
    <t>BCThuNhap</t>
  </si>
  <si>
    <t>2</t>
  </si>
  <si>
    <t>Báo cáo tình hình tài chính</t>
  </si>
  <si>
    <t>BCTinhHinhTaiChinh_06105</t>
  </si>
  <si>
    <t>3</t>
  </si>
  <si>
    <t>Báo cáo lưu chuyển tiền tệ</t>
  </si>
  <si>
    <t>BCLCTT_06106</t>
  </si>
  <si>
    <t>4</t>
  </si>
  <si>
    <t>Báo cáo thay đổi giá trị tài sản ròng, giao dịch chứng chỉ quỹ</t>
  </si>
  <si>
    <t>GTTSRong_06107</t>
  </si>
  <si>
    <t>5</t>
  </si>
  <si>
    <t>Báo cáo danh mục đầu tư</t>
  </si>
  <si>
    <t>BCDMDT_06108</t>
  </si>
  <si>
    <t>Ghi chú</t>
  </si>
  <si>
    <t>Không đổi tên sheet</t>
  </si>
  <si>
    <t>Công ty Quản lý quỹ</t>
  </si>
  <si>
    <t>Kế toán trưởng</t>
  </si>
  <si>
    <t>Tổng (Giám) đốc</t>
  </si>
  <si>
    <t>Người lập biểu</t>
  </si>
  <si>
    <t>(Ký, họ tên, đóng dấu)</t>
  </si>
  <si>
    <t>(Ký, họ tên)</t>
  </si>
  <si>
    <t>Chỉ tiêu</t>
  </si>
  <si>
    <t>Mã số</t>
  </si>
  <si>
    <t>Thuyết minh</t>
  </si>
  <si>
    <t>Năm N</t>
  </si>
  <si>
    <t>Năm N-1</t>
  </si>
  <si>
    <t>01</t>
  </si>
  <si>
    <t>02</t>
  </si>
  <si>
    <t>03</t>
  </si>
  <si>
    <t>04</t>
  </si>
  <si>
    <t>05</t>
  </si>
  <si>
    <t>06</t>
  </si>
  <si>
    <t>07</t>
  </si>
  <si>
    <t>08</t>
  </si>
  <si>
    <t>09</t>
  </si>
  <si>
    <t>10</t>
  </si>
  <si>
    <t>11</t>
  </si>
  <si>
    <t>12</t>
  </si>
  <si>
    <t>13</t>
  </si>
  <si>
    <t>14</t>
  </si>
  <si>
    <t>15</t>
  </si>
  <si>
    <t>20</t>
  </si>
  <si>
    <t>20.1</t>
  </si>
  <si>
    <t>20.2</t>
  </si>
  <si>
    <t>20.3</t>
  </si>
  <si>
    <t>20.4</t>
  </si>
  <si>
    <t>20.5</t>
  </si>
  <si>
    <t>20.6</t>
  </si>
  <si>
    <t>20.7</t>
  </si>
  <si>
    <t>20.8</t>
  </si>
  <si>
    <t>20.9</t>
  </si>
  <si>
    <t>20.10</t>
  </si>
  <si>
    <t>23</t>
  </si>
  <si>
    <t>24</t>
  </si>
  <si>
    <t>24.1</t>
  </si>
  <si>
    <t>24.2</t>
  </si>
  <si>
    <t>30</t>
  </si>
  <si>
    <t>31</t>
  </si>
  <si>
    <t>32</t>
  </si>
  <si>
    <t>40</t>
  </si>
  <si>
    <t>41</t>
  </si>
  <si>
    <t>I</t>
  </si>
  <si>
    <t>110</t>
  </si>
  <si>
    <t>111</t>
  </si>
  <si>
    <t>112</t>
  </si>
  <si>
    <t>120</t>
  </si>
  <si>
    <t>121</t>
  </si>
  <si>
    <t>122</t>
  </si>
  <si>
    <t>130</t>
  </si>
  <si>
    <t>131</t>
  </si>
  <si>
    <t>132</t>
  </si>
  <si>
    <t>133</t>
  </si>
  <si>
    <t>134</t>
  </si>
  <si>
    <t>135</t>
  </si>
  <si>
    <t>136</t>
  </si>
  <si>
    <t>137</t>
  </si>
  <si>
    <t>138</t>
  </si>
  <si>
    <t>100</t>
  </si>
  <si>
    <t>II</t>
  </si>
  <si>
    <t>311</t>
  </si>
  <si>
    <t>312</t>
  </si>
  <si>
    <t>313</t>
  </si>
  <si>
    <t>314</t>
  </si>
  <si>
    <t>315</t>
  </si>
  <si>
    <t>316</t>
  </si>
  <si>
    <t>317</t>
  </si>
  <si>
    <t>318</t>
  </si>
  <si>
    <t>319</t>
  </si>
  <si>
    <t>320</t>
  </si>
  <si>
    <t>300</t>
  </si>
  <si>
    <t>400</t>
  </si>
  <si>
    <t>411</t>
  </si>
  <si>
    <t>412</t>
  </si>
  <si>
    <t>413</t>
  </si>
  <si>
    <t>414</t>
  </si>
  <si>
    <t>420</t>
  </si>
  <si>
    <t>430</t>
  </si>
  <si>
    <t>440</t>
  </si>
  <si>
    <t>441</t>
  </si>
  <si>
    <t>442</t>
  </si>
  <si>
    <t>VI</t>
  </si>
  <si>
    <t>001</t>
  </si>
  <si>
    <t>002</t>
  </si>
  <si>
    <t>003</t>
  </si>
  <si>
    <t>004</t>
  </si>
  <si>
    <t>I. Lưu chuyển tiền từ hoạt động đầu tư</t>
  </si>
  <si>
    <t xml:space="preserve">1. Tiền đã chi mua các khoản đầu tư </t>
  </si>
  <si>
    <t>2. Tiền đã thu từ bán các khoản đầu tư</t>
  </si>
  <si>
    <t xml:space="preserve">3. Cổ tức đã nhận </t>
  </si>
  <si>
    <t>4. Tiền lãi đã thu</t>
  </si>
  <si>
    <t>5. Tiền chi trả lãi vay cho hoạt động của Quỹ mở</t>
  </si>
  <si>
    <t>6. Tiền chi trả phí cho hoạt động Quỹ mở</t>
  </si>
  <si>
    <t>7. Tiền chi nộp thuế liên quan đến hoạt động Quỹ mở</t>
  </si>
  <si>
    <t>8. Tiền chi thanh toán các chi phí cho hoạt động mua, bán các khoản đầu tư (phí môi giới, phí chuyển tiền)</t>
  </si>
  <si>
    <t xml:space="preserve">9. Tiền thu khác từ hoạt động đầu tư </t>
  </si>
  <si>
    <t xml:space="preserve">10. Tiền chi khác cho hoạt động đầu tư </t>
  </si>
  <si>
    <t>Lưu chuyển tiền thuần từ hoạt động đầu tư</t>
  </si>
  <si>
    <t>II. Lưu chuyển tiền từ hoạt động tài chính</t>
  </si>
  <si>
    <t>1. Tiền thu từ phát hành Chứng chỉ quỹ  mở</t>
  </si>
  <si>
    <t>21</t>
  </si>
  <si>
    <t>2. Tiền chi mua lại Chứng chỉ quỹ  mở</t>
  </si>
  <si>
    <t>22</t>
  </si>
  <si>
    <t>3. Tiền vay gốc</t>
  </si>
  <si>
    <t>4. Tiền chi trả nợ gốc vay</t>
  </si>
  <si>
    <t>5. Thu nhập trả cho Nhà đầu tư</t>
  </si>
  <si>
    <t>25</t>
  </si>
  <si>
    <t>Lưu chuyển tiền thuần từ hoạt động tài chính</t>
  </si>
  <si>
    <t>III. Tăng/giảm tiền thuần trong kỳ</t>
  </si>
  <si>
    <t>IV. Tiền và các khoản tương đương tiền đầu kỳ</t>
  </si>
  <si>
    <t>50</t>
  </si>
  <si>
    <t>Tiền gửi ngân hàng đầu kỳ:</t>
  </si>
  <si>
    <t>51</t>
  </si>
  <si>
    <t>- Tiền gửi ngân hàng cho hoạt động Quỹ mở</t>
  </si>
  <si>
    <t>52</t>
  </si>
  <si>
    <t xml:space="preserve">- Tiền gửi của Nhà đầu tư về mua Chứng chỉ quỹ </t>
  </si>
  <si>
    <t>53</t>
  </si>
  <si>
    <t>- Tiền gửi phong tỏa</t>
  </si>
  <si>
    <t>54</t>
  </si>
  <si>
    <t>V. Tiền và các khoản tương đương tiền cuối kỳ</t>
  </si>
  <si>
    <t>55</t>
  </si>
  <si>
    <t>Tiền gửi ngân hàng cuối kỳ:</t>
  </si>
  <si>
    <t>56</t>
  </si>
  <si>
    <t>57</t>
  </si>
  <si>
    <t>- Tiền gửi của Nhà đầu tư về mua Chứng chỉ quỹ</t>
  </si>
  <si>
    <t>58</t>
  </si>
  <si>
    <t>59</t>
  </si>
  <si>
    <t>VI. Chênh lệch tiền và các khoản tương đương tiền trong kỳ</t>
  </si>
  <si>
    <t>60</t>
  </si>
  <si>
    <t>4060</t>
  </si>
  <si>
    <t>4061</t>
  </si>
  <si>
    <t>II.1</t>
  </si>
  <si>
    <t>4062</t>
  </si>
  <si>
    <t>II.2</t>
  </si>
  <si>
    <t>4063</t>
  </si>
  <si>
    <t>III</t>
  </si>
  <si>
    <t>4064</t>
  </si>
  <si>
    <t>III.1</t>
  </si>
  <si>
    <t>4065</t>
  </si>
  <si>
    <t>III.2</t>
  </si>
  <si>
    <t>4066</t>
  </si>
  <si>
    <t>IV</t>
  </si>
  <si>
    <t>4067</t>
  </si>
  <si>
    <t>4030</t>
  </si>
  <si>
    <t>4031</t>
  </si>
  <si>
    <t>4032</t>
  </si>
  <si>
    <t>4033</t>
  </si>
  <si>
    <t>4034</t>
  </si>
  <si>
    <t>4035</t>
  </si>
  <si>
    <t>4036</t>
  </si>
  <si>
    <t>4037</t>
  </si>
  <si>
    <t>4038</t>
  </si>
  <si>
    <t>4039</t>
  </si>
  <si>
    <t>V</t>
  </si>
  <si>
    <t>4040</t>
  </si>
  <si>
    <t>4042</t>
  </si>
  <si>
    <t>4043</t>
  </si>
  <si>
    <t>4044</t>
  </si>
  <si>
    <t>4045</t>
  </si>
  <si>
    <t>4046</t>
  </si>
  <si>
    <t>VII</t>
  </si>
  <si>
    <t>4047</t>
  </si>
  <si>
    <t>16</t>
  </si>
  <si>
    <t>17</t>
  </si>
  <si>
    <t>18</t>
  </si>
  <si>
    <t>19</t>
  </si>
  <si>
    <t>33</t>
  </si>
  <si>
    <t>34</t>
  </si>
  <si>
    <t>35</t>
  </si>
  <si>
    <t>80</t>
  </si>
  <si>
    <t>Công ty Quản lý quỹ: Công ty TNHH Một Thành Viên Quản Lý Quỹ Chubb Life</t>
  </si>
  <si>
    <t>Quỹ: Quỹ Đầu tư Trái phiếu Mở rộng Chubb</t>
  </si>
  <si>
    <t>......., ngày 19 tháng 07 năm 2021</t>
  </si>
  <si>
    <t>Đỗ Thị Thu Nguyệt</t>
  </si>
  <si>
    <t>Bùi Thanh Hiệp</t>
  </si>
  <si>
    <t>Phó Chủ tịch Công ty</t>
  </si>
  <si>
    <t>Chỉ tiêu
Indicator</t>
  </si>
  <si>
    <t>Mã số
Code</t>
  </si>
  <si>
    <t>Thuyết minh
Note</t>
  </si>
  <si>
    <t>Năm 2021
Year 2021</t>
  </si>
  <si>
    <t>Năm 2020
Year 2020</t>
  </si>
  <si>
    <t>Bán niên năm 2021
The first 6 months of  2021</t>
  </si>
  <si>
    <t>Số lũy kế
Year-to-date</t>
  </si>
  <si>
    <t>Bán niên năm  2020
The first 6 months of  2020</t>
  </si>
  <si>
    <t>I. THU NHẬP, DOANH THU HOẠT ĐỘNG ĐẦU TƯ
Investment income</t>
  </si>
  <si>
    <t>1.1. Cổ tức được chia
Dividend income</t>
  </si>
  <si>
    <t>1.2. Tiền lãi được nhận
Interest income</t>
  </si>
  <si>
    <t>Lãi tiền gửi ngân hàng
Interest income from bank deposits</t>
  </si>
  <si>
    <t>03.1</t>
  </si>
  <si>
    <t>Lãi chứng chỉ tiền gửi
Interest income from Certificates of Deposit</t>
  </si>
  <si>
    <t>03.2</t>
  </si>
  <si>
    <t>Lãi trái phiếu
Interest income from bonds</t>
  </si>
  <si>
    <t>03.3</t>
  </si>
  <si>
    <t>Tiền lãi hợp đồng mua lại đảo ngược được nhận
Reverse repo contract interest received</t>
  </si>
  <si>
    <t>03.4</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</si>
  <si>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</si>
  <si>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</si>
  <si>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</si>
  <si>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 xml:space="preserve">1.6. Chênh lệch lãi, lỗ tỷ giá hối đoái đã và chưa thực hiện
Realized and unrealized gain (losses) from foreign exchange </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</si>
  <si>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</si>
  <si>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</si>
  <si>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II. CHI PHÍ ĐẦU TƯ
INVESTMENT EXPENSES</t>
  </si>
  <si>
    <t>2.1. Chi phí giao dịch mua, bán các khoản đầu tư
Expense for purchasing and selling investments</t>
  </si>
  <si>
    <t>Phí môi giới
Brokerage fee</t>
  </si>
  <si>
    <t>11.1</t>
  </si>
  <si>
    <t>Chi phí thanh toán bù trừ
Clearing settlement fee</t>
  </si>
  <si>
    <t>11.2</t>
  </si>
  <si>
    <t>2.2. Chi phí dự phòng nợ phải thu khó đòi và xử lý tổn thất phải thu khó đòi
Provision expense</t>
  </si>
  <si>
    <t>2.3. Chi phí lãi vay
Borrowing interest expense</t>
  </si>
  <si>
    <t>2.4. Chi phí dự phòng giảm giá tài sản nhận thế chấp và xử lý tổn thất các khoản đầu tư cho vay có tài sản nhận thế chấp
Impairment expense for devaluation of assets received as pledge</t>
  </si>
  <si>
    <t>2.5. Chi phí đầu tư khác
Other investment expenses</t>
  </si>
  <si>
    <t>III. CHI PHÍ HOẠT ĐỘNG CỦA QUỸ
OPERATING EXPENSES</t>
  </si>
  <si>
    <t>3.1.Phí quản lý Quỹ mở
Management fee</t>
  </si>
  <si>
    <t>3.2. Phí dịch vụ lưu ký tài sản Quỹ mở
Custodian fee</t>
  </si>
  <si>
    <t>Phí dịch vụ lưu ký - bảo quản tài sản
Custodian service - Safe Custody Fee</t>
  </si>
  <si>
    <t>20.2.1</t>
  </si>
  <si>
    <t xml:space="preserve">Phí dịch vụ lưu ký - giao dịch chứng khoán
Custodian service - Transaction fee </t>
  </si>
  <si>
    <t>20.2.2</t>
  </si>
  <si>
    <t>Phí dịch vụ lưu ký cho chứng khoán cơ sở, phí quản lý vị thế và tài sản phái sinh trả cho VSD
Custodian service -  Depository fee, Position and Margin management fee paid to VSD</t>
  </si>
  <si>
    <t>20.2.3</t>
  </si>
  <si>
    <t>3.3. Phí dịch vụ giám sát
Supervising fee</t>
  </si>
  <si>
    <t>3.4. Phí dịch vụ quản trị Quỹ mở
Fund administrative fee</t>
  </si>
  <si>
    <t>3.5. Phí dịch vụ đại lý chuyển nhượng
Transfer agent fee</t>
  </si>
  <si>
    <t xml:space="preserve">3.6. Phí dịch vụ khác của Nhà cung cấp dịch vụ cho Quỹ mở
Other service fees </t>
  </si>
  <si>
    <t>3.6.1.Phí cung cấp dịch vụ tính giá trị tài sản ròng tham chiếu (iNAV) trả cho HOSE
Accrual expenses payable to HOSE for iNAV calculation</t>
  </si>
  <si>
    <t>20.6.1</t>
  </si>
  <si>
    <t>3.6.2. Phí cấp quyền sử dụng chỉ số trả cho HOSE
Accrual expenses payable to HOSE for Index usage</t>
  </si>
  <si>
    <t>20.6.2</t>
  </si>
  <si>
    <t>3.7. Chi phí họp, Đại hội Quỹ mở
Meeting and General Meeting expense</t>
  </si>
  <si>
    <t>3.8. Chi phí kiểm toán
Audit fee</t>
  </si>
  <si>
    <t>3.9. Chi phí thanh lý tài sản Quỹ mở
Asset disposal expense</t>
  </si>
  <si>
    <t>3.10. Chi phí hoạt động khác
Other operating expenses</t>
  </si>
  <si>
    <t>Thù lao ban đại diện Quỹ
Remuneration of Fund's Board of Representatives</t>
  </si>
  <si>
    <t>20.10.01</t>
  </si>
  <si>
    <t>Chi phí công tác, họp của ban đại diện
Fund's Board of Representatives travelling, meeting expenses</t>
  </si>
  <si>
    <t>20.10.02</t>
  </si>
  <si>
    <t>Chi phí báo cáo thường niên
Annual report expenses</t>
  </si>
  <si>
    <t>20.10.03</t>
  </si>
  <si>
    <t>Chi phí cung cấp báo giá chứng khoán 
Price feed fee</t>
  </si>
  <si>
    <t>20.10.04</t>
  </si>
  <si>
    <t>Chi phí dịch vụ tư vấn pháp lý
Legal consultancy expenses</t>
  </si>
  <si>
    <t>20.10.05</t>
  </si>
  <si>
    <t>Chi phí thiết lập Quỹ
Set up fee</t>
  </si>
  <si>
    <t>20.10.06</t>
  </si>
  <si>
    <t>Phí quản lý thường niên trả UBCKNN
Annual fee paid to SSC</t>
  </si>
  <si>
    <t>20.10.07</t>
  </si>
  <si>
    <t>Phí ngân hàng
Bank charges</t>
  </si>
  <si>
    <t>20.10.08</t>
  </si>
  <si>
    <t>Chi phí công bố thông tin của Quỹ
Expenses for information disclosure of the Fund</t>
  </si>
  <si>
    <t>20.10.09</t>
  </si>
  <si>
    <t>Phí thiết kế, in ấn, gửi thư…
Designing, printing, posting... expenses</t>
  </si>
  <si>
    <t>20.10.10</t>
  </si>
  <si>
    <t>Phí thực hiện quyền trả cho VSD
Fee paid to VSD for getting the list of investors</t>
  </si>
  <si>
    <t>20.10.11</t>
  </si>
  <si>
    <t>Phí đăng ký niêm yết bổ sung trả VSD
Additional registration fee paid to VSD</t>
  </si>
  <si>
    <t>20.10.12</t>
  </si>
  <si>
    <t>Phí niêm yết
Listing fee</t>
  </si>
  <si>
    <t>20.10.13</t>
  </si>
  <si>
    <t>Chi phí khác
Other expenses</t>
  </si>
  <si>
    <t>20.10.14</t>
  </si>
  <si>
    <t>IV. KẾT QUẢ HOẠT ĐỘNG ĐẦU TƯ 
GAIN (LOSSES) FROM INVESTMENT 
(23 = 01-10-20)</t>
  </si>
  <si>
    <t xml:space="preserve">V. KẾT QUẢ THU NHẬP VÀ CHI PHÍ KHÁC
OTHER INCOME AND EXPENSE </t>
  </si>
  <si>
    <t>5.1. Thu nhập khác
Other income</t>
  </si>
  <si>
    <t>5.2. Chi phí khác
Other expenses</t>
  </si>
  <si>
    <t>VI. TỔNG LỢI NHUẬN KẾ TOÁN TRƯỚC THUẾ 
PROFIT BEFORE TAX
(30=23+24)</t>
  </si>
  <si>
    <t>6.1. Lợi nhuận/(lỗ) đã thực hiện
Realized profit (losses)</t>
  </si>
  <si>
    <t>6.2. Lợi nhận/(lỗ) chưa thực hiện
Unrealized profit (losses)</t>
  </si>
  <si>
    <t>VII. CHI PHÍ THUẾ TNDN
CORPORATE INCOME TAX</t>
  </si>
  <si>
    <t>VIII. LỢI NHUẬN KẾ TOÁN SAU THUẾ TNDN 
PROFIT AFTER TAX
(41=30-40)</t>
  </si>
  <si>
    <t>Bán niên năm 2021
The first 6 months of 2021</t>
  </si>
  <si>
    <t>Bán niên năm 2020
The first 6 months of 2020</t>
  </si>
  <si>
    <t>Ngày 30 tháng 06 
năm 2021
 As at 30 Jun 2021</t>
  </si>
  <si>
    <t>Ngày 31 tháng 12 năm 2020
 As at 31 Dec 2020</t>
  </si>
  <si>
    <t>I. TÀI SẢN
ASSETS</t>
  </si>
  <si>
    <t>1.Tiền gửi ngân hàng và tương đương tiền
Cash at bank and cash equivalent</t>
  </si>
  <si>
    <t>1.1. Tiền gửi ngân hàng 
Cash at bank</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</si>
  <si>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</si>
  <si>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</si>
  <si>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</si>
  <si>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</si>
  <si>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</si>
  <si>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</si>
  <si>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Tiền gửi ký quỹ cho hoạt động đầu tư chứng khoán phái sinh
Margin account for trading derivatives</t>
  </si>
  <si>
    <t>111.4</t>
  </si>
  <si>
    <t>1.2. Tiền gửi có kỳ hạn dưới ba (03) tháng
Deposit with term less than three (03) months</t>
  </si>
  <si>
    <t>2. Các khoản đầu tư thuần
Net Investments</t>
  </si>
  <si>
    <t>2.1. Các khoản đầu tư
Investments</t>
  </si>
  <si>
    <t>Cổ phiếu niêm yết
Listed Shares</t>
  </si>
  <si>
    <t>121.1</t>
  </si>
  <si>
    <t>Cổ phiếu chưa niêm yết
Unlisted Shares</t>
  </si>
  <si>
    <t>121.2</t>
  </si>
  <si>
    <t>Trái phiếu niêm yết
Listed Bonds</t>
  </si>
  <si>
    <t>121.3</t>
  </si>
  <si>
    <t>Trái phiếu chưa niêm yết 
Unlisted Bonds</t>
  </si>
  <si>
    <t>121.4</t>
  </si>
  <si>
    <t>Chứng chỉ tiền gửi
Certificates of Deposit</t>
  </si>
  <si>
    <t>121.5</t>
  </si>
  <si>
    <t>Hợp đồng tiền gửi có kỳ hạn trên ba (03) tháng
Deposits with term over three (03) months</t>
  </si>
  <si>
    <t>121.6</t>
  </si>
  <si>
    <t>Quyền mua chứng khoán
Investment - Rights</t>
  </si>
  <si>
    <t>121.7</t>
  </si>
  <si>
    <t>Hợp đồng tương lai chỉ số
Index future contracts</t>
  </si>
  <si>
    <t>121.8</t>
  </si>
  <si>
    <t>Đầu tư khác
Other Investments</t>
  </si>
  <si>
    <t>121.9</t>
  </si>
  <si>
    <t>Hợp đồng mua lại đảo ngược
Reverse repo contracts</t>
  </si>
  <si>
    <t>121.10</t>
  </si>
  <si>
    <t>2.2. Dự phòng giảm giá tài sản nhận thế chấp 
Impairment of devaluation of pledged assets</t>
  </si>
  <si>
    <t>3. Các khoản phải thu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</si>
  <si>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</si>
  <si>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</si>
  <si>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receivables</t>
  </si>
  <si>
    <t>3.2.1. Phải thu cổ tức, tiền lãi đến ngày nhận
Dividend and interest receivables on or after payment date</t>
  </si>
  <si>
    <t>Phải thu cổ tức
Dividend receivables</t>
  </si>
  <si>
    <t>134.1</t>
  </si>
  <si>
    <t>Phải thu trái tức
Coupon receivables</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</si>
  <si>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</si>
  <si>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</si>
  <si>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</si>
  <si>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</si>
  <si>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</si>
  <si>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Phải thu lãi chứng chỉ tiền gửi
Interest receivables from Certificates of Deposit</t>
  </si>
  <si>
    <t>134.5</t>
  </si>
  <si>
    <t>Trong đó: Phải thu khó đòi về cổ tức, tiền lãi đến ngày nhận  nhưng chưa nhận được
In which: Overdue receivables from dividend, interest income</t>
  </si>
  <si>
    <t>3.2.2.Dự thu cổ tức, tiền lãi chưa đến ngày nhận 
Dividend and interest receivables before payment date</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</si>
  <si>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</si>
  <si>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</si>
  <si>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</si>
  <si>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</si>
  <si>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</si>
  <si>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</si>
  <si>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</si>
  <si>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</si>
  <si>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Dự thu lãi chứng chỉ tiền gửi
Interest accrual from Certificates of Deposit</t>
  </si>
  <si>
    <t>136.5</t>
  </si>
  <si>
    <t>Dự thu lãi hợp đồng mua lại đảo ngược
Interest receivables from reverse repo contracts</t>
  </si>
  <si>
    <t>136.6</t>
  </si>
  <si>
    <t>3.3. Các khoản phải thu khác
Other receivables</t>
  </si>
  <si>
    <t>Phải thu cho khoản cổ phiếu hạn chế chờ mua
Receivable from AP/Investors on securities on hold of buying</t>
  </si>
  <si>
    <t>137.1</t>
  </si>
  <si>
    <t>Các tài sản khác
Other assets</t>
  </si>
  <si>
    <t>137.2</t>
  </si>
  <si>
    <t>Các khoản khác
Others</t>
  </si>
  <si>
    <t>137.3</t>
  </si>
  <si>
    <t>3.4. Dự phòng nợ phải thu khó đòi
Provision for doubtful debt</t>
  </si>
  <si>
    <t>TỔNG TÀI SẢN
TOTAL ASSETS</t>
  </si>
  <si>
    <t>II. NỢ PHẢI TRẢ
TOTAL LIABILITIES</t>
  </si>
  <si>
    <t>1. Vay ngắn hạn 
Short-term loans</t>
  </si>
  <si>
    <t>Gốc hợp đồng repo
Repo contracts - Principal</t>
  </si>
  <si>
    <t>311.1</t>
  </si>
  <si>
    <t>Vay ngắn hạn
Short-term loans</t>
  </si>
  <si>
    <t>311.2</t>
  </si>
  <si>
    <t>2. Phải trả về mua các khoản đầu tư
Payables for securities bought but not yet settled</t>
  </si>
  <si>
    <t>3. Phải trả phí cho các Đại lý phân phối, Công ty quản lý quỹ về mua bán Chứng chỉ quỹ
Subscription and Redemption fee payable to distributors and fund management company</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</si>
  <si>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</si>
  <si>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</si>
  <si>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</si>
  <si>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</si>
  <si>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 Thuế và các khoản phải nộp Nhà nước
Tax payables and obligations to the State Budget</t>
  </si>
  <si>
    <t>5.Phải trả thu nhập cho Nhà đầu tư
Profit distribution payables</t>
  </si>
  <si>
    <t>6. Chi phí phải trả
Expense Accruals</t>
  </si>
  <si>
    <t>Phí giao dịch
Transaction fee</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</si>
  <si>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</si>
  <si>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</si>
  <si>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</si>
  <si>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</si>
  <si>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</si>
  <si>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</si>
  <si>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</si>
  <si>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</si>
  <si>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</si>
  <si>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</si>
  <si>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</si>
  <si>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</si>
  <si>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</si>
  <si>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</si>
  <si>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</si>
  <si>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</si>
  <si>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</si>
  <si>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 Phải trả cho Nhà đầu tư về mua Chứng chỉ quỹ
Subscription payables to investors</t>
  </si>
  <si>
    <t>Phải trả cho nhà đầu tư chờ mua chứng chỉ quỹ
Subscription Pending allotment</t>
  </si>
  <si>
    <t>317.1</t>
  </si>
  <si>
    <t>Phải trả nhà đầu tư trên tài sản giữ hộ
Payables to investors for investment bought on behalf</t>
  </si>
  <si>
    <t>317.2</t>
  </si>
  <si>
    <t>8. Phải trả cho Nhà đầu tư về mua lại Chứng chỉ quỹ
Redemption payables to investors</t>
  </si>
  <si>
    <t>9. Phải trả dịch vụ quản lý Quỹ mở
Fund management related service expense payable</t>
  </si>
  <si>
    <t>Trích trước phải trả phí quản lý
Accrued expense for Management fee</t>
  </si>
  <si>
    <t>319.1</t>
  </si>
  <si>
    <t>Trích trước phí lưu ký tài sản Quỹ mở
Accrued expense for Custodian fee</t>
  </si>
  <si>
    <t>319.2</t>
  </si>
  <si>
    <t>319.2.1</t>
  </si>
  <si>
    <t>Phí dịch vụ lưu ký - giao dịch chứng khoán
Custodian service - Transaction fee</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</si>
  <si>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</si>
  <si>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</si>
  <si>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</si>
  <si>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</si>
  <si>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</si>
  <si>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</si>
  <si>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</si>
  <si>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</si>
  <si>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</si>
  <si>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</si>
  <si>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</si>
  <si>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</si>
  <si>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</si>
  <si>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Phải trả phí báo giá
Price feed fee payable</t>
  </si>
  <si>
    <t>320.1</t>
  </si>
  <si>
    <t>Trích trước phí công tác, họp của ban đại diện
Accrued expense for Fund's Board of Representatives travelling, meeting</t>
  </si>
  <si>
    <t>320.2</t>
  </si>
  <si>
    <t>Trích trước phí quản lý thường niên trả cho UBCKNN
Accrued expense for Annual Fee paid to SSC</t>
  </si>
  <si>
    <t>320.3</t>
  </si>
  <si>
    <t>Phí Ngân hàng S2B
S2B Bank charge</t>
  </si>
  <si>
    <t>320.4</t>
  </si>
  <si>
    <t>Phải trả khác
Other payables</t>
  </si>
  <si>
    <t>320.5</t>
  </si>
  <si>
    <t>TỔNG NỢ PHẢI TRẢ
TOTAL LIABILITIES</t>
  </si>
  <si>
    <t>III. 	GIÁ TRỊ TÀI SẢN RÒNG CÓ THỂ PHÂN PHỐI CHO NHÀ ĐẦU TƯ NẮM GIỮ CHỨNG CHỈ QUỸ MỞ (I-II)
DISTRIBUTABLE NET ASSET VALUE (I-II)</t>
  </si>
  <si>
    <t>1. Vốn góp của Nhà đầu tư
Contributed capital</t>
  </si>
  <si>
    <t>1.1 Vốn góp phát hành
Capital from subscription</t>
  </si>
  <si>
    <t>1.2 Vốn góp mua lại
Capital from redemption</t>
  </si>
  <si>
    <t>2. Thặng dư vốn góp của Nhà đầu tư
Share premium</t>
  </si>
  <si>
    <t>3. Lợi nhuận chưa phân phối 
Undistributed earnings</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</si>
  <si>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</si>
  <si>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</si>
  <si>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</si>
  <si>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</si>
  <si>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</si>
  <si>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V. LỢI NHUẬN ĐÃ PHÂN PHỐI CHO NHÀ ĐẦU TƯ
DISTRIBUTED EARNINGS</t>
  </si>
  <si>
    <t>1. Lợi nhuận/Tài sản đã phân phối cho Nhà đầu tư trong kỳ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</si>
  <si>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</si>
  <si>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OFF BALANCE SHEET ITEMS</t>
  </si>
  <si>
    <t>1. Tài sản nhận thế chấp
Assets received as pledge</t>
  </si>
  <si>
    <t>2. Nợ khó đòi đã xử lý
Written off bad debts</t>
  </si>
  <si>
    <t>3. Ngoại tệ các loại
Foreign currencies</t>
  </si>
  <si>
    <t>4. Số lượng Chứng chỉ quỹ đang lưu hành
Number of outstanding fund certificates</t>
  </si>
  <si>
    <t>STT
No</t>
  </si>
  <si>
    <t>Nội dung
Item</t>
  </si>
  <si>
    <t>I. Giá trị tài sản ròng của Quỹ mở (NAV) đầu kỳ
Net Asset Value (NAV) at the beginning of period</t>
  </si>
  <si>
    <t>II. Thay đổi NAV so với kỳ trước (= II.1 + II.2), 
trong đó:
Change of NAV during the period (= II.1 + II.2),
of which:</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</si>
  <si>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</si>
  <si>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profit/asset distribution to investors during the period</t>
  </si>
  <si>
    <t>III. Thay đổi NAV do mua lại, phát hành thêm Chứng chỉ quỹ (= III.1 + III.2)
Change of NAV due to redemption, subscription of Fund Certificate (= III.1 + III.2)</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</si>
  <si>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</si>
  <si>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</si>
  <si>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I + II + III) 
NAV at the end of period (= I + II + III)</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</si>
  <si>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</si>
  <si>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</si>
  <si>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</si>
  <si>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đánh giá lại các khoản đầu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</si>
  <si>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</si>
  <si>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</si>
  <si>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</si>
  <si>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</si>
  <si>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</si>
  <si>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</si>
  <si>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</si>
  <si>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</si>
  <si>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</si>
  <si>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in profit distribution payables to investors</t>
  </si>
  <si>
    <t>(+) Tăng, (-) giảm Thuế và các khoản phải nộp Nhà nước
Increase, (Decrease) in Tax payables and obligations to the State Budget</t>
  </si>
  <si>
    <t>(+) Tăng, (-) giảm phải trả cho Nhà đầu tư về mua Chứng chỉ quỹ
Increase, (Decrease) in Subscription Payable to investors</t>
  </si>
  <si>
    <t>(+) Tăng, (-) giảm phải trả cho Nhà đầu tư về mua lại Chứng chỉ quỹ
Increase, (Decrease) in Redemption payable to investors</t>
  </si>
  <si>
    <t>(+) Tăng, (-) giảm phải trả, phải nộp khác
Increase, (Decrease) in Other payables</t>
  </si>
  <si>
    <t>(+) Tăng, (-) giảm Phải trả dịch vụ quản lý Quỹ mở
Increase, (Decrease) in Fees payable to related service providers</t>
  </si>
  <si>
    <t>(+) Tăng, (-) giảm Thuế Thu nhập doanh nghiệp đã nộp
Increase, (Decrease) Income Tax Payment</t>
  </si>
  <si>
    <t>Lưu chuyển tiền thuần từ hoạt động đầu tư (1+2+3)
Net Cash flow from Investing activities</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</si>
  <si>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</si>
  <si>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</si>
  <si>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</si>
  <si>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borrowings</t>
  </si>
  <si>
    <t>4. Tiền chi trả nợ gốc vay 
Payment of Principal borrowings</t>
  </si>
  <si>
    <t>5. Tiền chi trả cổ tức, tiền lãi cho nhà đầu tư
Dividend, profit distribution paid to investors</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</si>
  <si>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</si>
  <si>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</si>
  <si>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</si>
  <si>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Tiền gửi ngân hàng đầu kỳ: 
Cash at bank of the beginning of period:</t>
  </si>
  <si>
    <t>-Tiền gửi ngân hàng và tương đương tiền cho hoạt động của Quỹ 
Cash at bank and cash equivalent for Fund's operation</t>
  </si>
  <si>
    <t>Tiền gửi không kỳ hạn
Demand deposit</t>
  </si>
  <si>
    <t>52.1</t>
  </si>
  <si>
    <t>Tiền gửi có kỳ hạn dưới ba (03) tháng
Deposits with term under three (03) months</t>
  </si>
  <si>
    <t>52.2</t>
  </si>
  <si>
    <t>52.3</t>
  </si>
  <si>
    <t xml:space="preserve">- Tiền gửi của nhà đầu tư về mua bán chứng chỉ quỹ
Cash at bank for Fund's subscription/redemption </t>
  </si>
  <si>
    <t>- Tiền gửi phong tỏa
Frozen Account</t>
  </si>
  <si>
    <t>V. Tiền và các khoản tương đương tiền cuối kỳ 
Cash and cash equivalents at the end of period</t>
  </si>
  <si>
    <t>Tiền gửi ngân hàng cuối kỳ: 
Cash at bank of the end of period:</t>
  </si>
  <si>
    <t>57.1</t>
  </si>
  <si>
    <t>57.2</t>
  </si>
  <si>
    <t>57.3</t>
  </si>
  <si>
    <t>- Tiền gửi của nhà đầu tư về mua bán chứng chỉ quỹ
Cash at bank for Fund's subscription and redemption</t>
  </si>
  <si>
    <t xml:space="preserve">- Tiền gửi phong tỏa
Frozen Account </t>
  </si>
  <si>
    <t>VI. Thay đổi Tiền và các khoản tương đương tiền trong kỳ
Changes in cash and cash equivalents in the period</t>
  </si>
  <si>
    <t>Khác
Others</t>
  </si>
  <si>
    <t>STT/No.</t>
  </si>
  <si>
    <t>Loại
Category</t>
  </si>
  <si>
    <t>Mã chỉ tiêu
Code</t>
  </si>
  <si>
    <t>Số Lượng
Quantity</t>
  </si>
  <si>
    <t>Giá thị trường
hoặc giá trị hợp lý tại ngày báo cáo
Market price</t>
  </si>
  <si>
    <t>Tổng giá trị (Đồng)
Value (VND)</t>
  </si>
  <si>
    <t>Tỷ lệ % Tổng giá trị tài sản của Quỹ
% of total asset</t>
  </si>
  <si>
    <t>CỔ PHIẾU NIÊM YẾT
LISTED SHARES</t>
  </si>
  <si>
    <t>CỔ PHIẾU CHƯA NIÊM YẾT
UNLISTED SHARES</t>
  </si>
  <si>
    <t>TỔNG
TOTAL</t>
  </si>
  <si>
    <t>TỔNG CÁC LOẠI CỔ PHIẾU
TOTAL SHARES</t>
  </si>
  <si>
    <t>TRÁI PHIẾU
BONDS</t>
  </si>
  <si>
    <t>CÁC LOẠI CHỨNG KHOÁN KHÁC
OTHER SECURITIES</t>
  </si>
  <si>
    <t>TỔNG CÁC LOẠI CHỨNG KHOÁN
TOTAL TYPES OF SECURITIES</t>
  </si>
  <si>
    <t>CÁC TÀI SẢN KHÁC
OTHER ASSETS</t>
  </si>
  <si>
    <t>Cổ tức được nhận
Dividend receivables</t>
  </si>
  <si>
    <t>Lãi trái phiếu được nhận
Coupon receivables</t>
  </si>
  <si>
    <t>Lãi tiền gửi và chứng chỉ tiền gửi được nhận
Interest receivables from bank deposits and certificates of deposit</t>
  </si>
  <si>
    <t>Tiền bán chứng khoán chờ thu
Outstanding Settlement of sales transactions</t>
  </si>
  <si>
    <t>Phải thu khác
Other receivables</t>
  </si>
  <si>
    <t>Tài sản khác
Other assets</t>
  </si>
  <si>
    <t>TIỀN
CASH</t>
  </si>
  <si>
    <t>Tiền gửi Ngân hàng
Cash at bank</t>
  </si>
  <si>
    <t>Chứng chỉ tiền gửi 
Certificates of deposit</t>
  </si>
  <si>
    <t>Công cụ chuyển nhượng…
Transferable instruments…</t>
  </si>
  <si>
    <t>Tổng giá trị danh mục 
Total value of portfolio</t>
  </si>
  <si>
    <t>Trái phiếu niêm yết
Listed bonds</t>
  </si>
  <si>
    <t>4035.1</t>
  </si>
  <si>
    <t>Trái phiếu chưa niêm yết
Unlisted Bonds</t>
  </si>
  <si>
    <t>4035.2</t>
  </si>
  <si>
    <t>4037.1</t>
  </si>
  <si>
    <t>Chi tiết loại hợp đồng phái sinh(*)
Index future contracts</t>
  </si>
  <si>
    <t>4037.2</t>
  </si>
  <si>
    <t>TỔNG
	TOTAL</t>
  </si>
  <si>
    <t>4040.1</t>
  </si>
  <si>
    <t>4040.2</t>
  </si>
  <si>
    <t>4040.3</t>
  </si>
  <si>
    <t>4040.4</t>
  </si>
  <si>
    <t>4040.5</t>
  </si>
  <si>
    <t>6</t>
  </si>
  <si>
    <t>4040.6</t>
  </si>
  <si>
    <t>7</t>
  </si>
  <si>
    <t>4040.7</t>
  </si>
  <si>
    <t>1.1</t>
  </si>
  <si>
    <t>Tiền gửi ngân hàng
Cash at Bank</t>
  </si>
  <si>
    <t>4043.1</t>
  </si>
  <si>
    <t>1.2</t>
  </si>
  <si>
    <t>Các khoản tương đương tiền
Cash Equivalents</t>
  </si>
  <si>
    <t>4043.2</t>
  </si>
  <si>
    <t>1.3</t>
  </si>
  <si>
    <t>Tiền gửi có kỳ hạn trên 3 tháng
Deposits with term over three (03) months</t>
  </si>
  <si>
    <t>4043.3</t>
  </si>
  <si>
    <t xml:space="preserve">V. Giá trị tài sản ròng trên một đơn vị quỹ cuối kỳ
NAV per unit at the end of period </t>
  </si>
  <si>
    <t>4067.1</t>
  </si>
  <si>
    <t xml:space="preserve">Bán niên: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</si>
</sst>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_(* #,##0.00_);_(* \(#,##0.00\);_(* &quot;-&quot;_);_(@_)"/>
  </numFmts>
  <fonts count="22">
    <font>
      <sz val="10"/>
      <name val="Arial"/>
    </font>
    <font>
      <sz val="10"/>
      <name val="Arial"/>
      <family val="2"/>
    </font>
    <font>
      <sz val="12"/>
      <name val="Times New Roman"/>
      <family val="1"/>
    </font>
    <font>
      <sz val="12"/>
      <name val="Times New Roman"/>
      <family val="1"/>
    </font>
    <font>
      <b/>
      <sz val="13"/>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0"/>
      <name val="Arial"/>
      <family val="2"/>
    </font>
    <font>
      <b/>
      <sz val="10"/>
      <name val="Tahoma"/>
      <family val="2"/>
    </font>
    <font>
      <sz val="10"/>
      <name val="Tahoma"/>
      <family val="2"/>
    </font>
    <font>
      <i/>
      <sz val="10"/>
      <name val="Tahoma"/>
      <family val="2"/>
    </font>
    <font>
      <b/>
      <sz val="10"/>
      <color theme="1"/>
      <name val="Tahoma"/>
      <family val="2"/>
    </font>
    <font>
      <sz val="10"/>
      <color theme="1"/>
      <name val="Tahoma"/>
      <family val="2"/>
    </font>
    <font>
      <i/>
      <sz val="10"/>
      <color theme="1"/>
      <name val="Tahoma"/>
      <family val="2"/>
    </font>
    <font>
      <sz val="10"/>
      <color indexed="63"/>
      <name val="Tahoma"/>
      <family val="2"/>
    </font>
    <font>
      <sz val="11"/>
      <color theme="1"/>
      <name val="Calibri"/>
      <family val="2"/>
      <scheme val="minor"/>
    </font>
  </fonts>
  <fills count="5">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s>
  <cellStyleXfs count="9">
    <xf numFmtId="0" fontId="0" fillId="0" borderId="0"/>
    <xf numFmtId="43" fontId="1" fillId="0" borderId="0" applyFont="0" applyFill="0" applyBorder="0" applyAlignment="0" applyProtection="0"/>
    <xf numFmtId="0" fontId="13" fillId="0" borderId="0"/>
    <xf numFmtId="0" fontId="13" fillId="0" borderId="0"/>
    <xf numFmtId="43" fontId="13" fillId="0" borderId="0" applyFont="0" applyFill="0" applyBorder="0" applyAlignment="0" applyProtection="0"/>
    <xf numFmtId="43" fontId="13" fillId="0" borderId="0" applyFont="0" applyFill="0" applyBorder="0" applyAlignment="0" applyProtection="0"/>
    <xf numFmtId="43" fontId="21" fillId="0" borderId="0" applyFont="0" applyFill="0" applyBorder="0" applyAlignment="0" applyProtection="0"/>
    <xf numFmtId="0" fontId="21" fillId="0" borderId="0"/>
    <xf numFmtId="0" fontId="21" fillId="0" borderId="0"/>
  </cellStyleXfs>
  <cellXfs count="94">
    <xf numFmtId="0" fontId="0" fillId="0" borderId="0" xfId="0"/>
    <xf numFmtId="0" fontId="3" fillId="0" borderId="0" xfId="0" applyFont="1" applyAlignment="1">
      <alignment horizontal="left"/>
    </xf>
    <xf numFmtId="0" fontId="4" fillId="0" borderId="0" xfId="0" applyFont="1" applyAlignment="1">
      <alignment horizontal="center" vertical="justify"/>
    </xf>
    <xf numFmtId="0" fontId="5" fillId="0" borderId="1" xfId="0" applyFont="1" applyBorder="1" applyAlignment="1">
      <alignment horizontal="center" vertical="justify"/>
    </xf>
    <xf numFmtId="0" fontId="6" fillId="0" borderId="1" xfId="0" applyFont="1" applyBorder="1" applyAlignment="1">
      <alignment horizontal="center" vertical="justify"/>
    </xf>
    <xf numFmtId="0" fontId="7" fillId="0" borderId="1" xfId="0" applyFont="1" applyBorder="1" applyAlignment="1">
      <alignment horizontal="left"/>
    </xf>
    <xf numFmtId="0" fontId="8" fillId="0" borderId="0" xfId="0" applyFont="1" applyAlignment="1">
      <alignment horizontal="left"/>
    </xf>
    <xf numFmtId="0" fontId="9" fillId="0" borderId="0" xfId="0" applyFont="1" applyAlignment="1">
      <alignment horizontal="center" vertical="justify"/>
    </xf>
    <xf numFmtId="0" fontId="10" fillId="0" borderId="0" xfId="0" applyFont="1" applyAlignment="1">
      <alignment horizontal="center" vertical="justify"/>
    </xf>
    <xf numFmtId="0" fontId="11" fillId="2" borderId="1" xfId="0" applyFont="1" applyFill="1" applyBorder="1" applyAlignment="1">
      <alignment horizontal="center" vertical="justify"/>
    </xf>
    <xf numFmtId="0" fontId="12" fillId="0" borderId="1" xfId="0" applyFont="1" applyBorder="1" applyAlignment="1">
      <alignment horizontal="left"/>
    </xf>
    <xf numFmtId="0" fontId="2" fillId="0" borderId="0" xfId="0" applyFont="1" applyAlignment="1">
      <alignment horizontal="left"/>
    </xf>
    <xf numFmtId="0" fontId="14" fillId="3" borderId="6" xfId="0" applyFont="1" applyFill="1" applyBorder="1" applyAlignment="1">
      <alignment horizontal="center" vertical="center" wrapText="1"/>
    </xf>
    <xf numFmtId="49" fontId="14" fillId="3" borderId="6" xfId="0" applyNumberFormat="1" applyFont="1" applyFill="1" applyBorder="1" applyAlignment="1">
      <alignment horizontal="center" vertical="center" wrapText="1"/>
    </xf>
    <xf numFmtId="164" fontId="14" fillId="3" borderId="6" xfId="1" applyNumberFormat="1" applyFont="1" applyFill="1" applyBorder="1" applyAlignment="1" applyProtection="1">
      <alignment horizontal="center" vertical="center" wrapText="1"/>
      <protection locked="0"/>
    </xf>
    <xf numFmtId="0" fontId="14" fillId="3" borderId="6" xfId="2" applyFont="1" applyFill="1" applyBorder="1" applyAlignment="1">
      <alignment horizontal="left" vertical="center" wrapText="1"/>
    </xf>
    <xf numFmtId="49" fontId="14" fillId="3" borderId="6" xfId="2" applyNumberFormat="1" applyFont="1" applyFill="1" applyBorder="1" applyAlignment="1">
      <alignment horizontal="center" vertical="center" wrapText="1"/>
    </xf>
    <xf numFmtId="0" fontId="15" fillId="3" borderId="6" xfId="2" applyFont="1" applyFill="1" applyBorder="1" applyAlignment="1">
      <alignment horizontal="center" vertical="center" wrapText="1"/>
    </xf>
    <xf numFmtId="164" fontId="14" fillId="3" borderId="6" xfId="1" applyNumberFormat="1" applyFont="1" applyFill="1" applyBorder="1" applyAlignment="1" applyProtection="1">
      <alignment horizontal="right" vertical="center" wrapText="1"/>
      <protection locked="0"/>
    </xf>
    <xf numFmtId="0" fontId="15" fillId="4" borderId="6" xfId="2" applyFont="1" applyFill="1" applyBorder="1" applyAlignment="1">
      <alignment horizontal="left" vertical="center" wrapText="1"/>
    </xf>
    <xf numFmtId="49" fontId="15" fillId="0" borderId="6" xfId="2" applyNumberFormat="1" applyFont="1" applyBorder="1" applyAlignment="1">
      <alignment horizontal="center" vertical="center" wrapText="1"/>
    </xf>
    <xf numFmtId="0" fontId="15" fillId="0" borderId="6" xfId="2" applyFont="1" applyBorder="1" applyAlignment="1">
      <alignment horizontal="center" vertical="center" wrapText="1"/>
    </xf>
    <xf numFmtId="164" fontId="15" fillId="4" borderId="6" xfId="1" applyNumberFormat="1" applyFont="1" applyFill="1" applyBorder="1" applyAlignment="1" applyProtection="1">
      <alignment horizontal="right" vertical="center" wrapText="1"/>
      <protection locked="0"/>
    </xf>
    <xf numFmtId="0" fontId="15" fillId="4" borderId="6" xfId="2" applyFont="1" applyFill="1" applyBorder="1" applyAlignment="1">
      <alignment horizontal="center" vertical="center" wrapText="1"/>
    </xf>
    <xf numFmtId="49" fontId="15" fillId="4" borderId="6" xfId="2" applyNumberFormat="1" applyFont="1" applyFill="1" applyBorder="1" applyAlignment="1">
      <alignment horizontal="center" vertical="center" wrapText="1"/>
    </xf>
    <xf numFmtId="0" fontId="15" fillId="0" borderId="6" xfId="2" applyFont="1" applyBorder="1" applyAlignment="1">
      <alignment horizontal="left" vertical="center" wrapText="1"/>
    </xf>
    <xf numFmtId="0" fontId="16" fillId="0" borderId="6" xfId="3" applyFont="1" applyBorder="1" applyAlignment="1">
      <alignment horizontal="left" vertical="center" wrapText="1"/>
    </xf>
    <xf numFmtId="49" fontId="16" fillId="0" borderId="6" xfId="2" applyNumberFormat="1" applyFont="1" applyBorder="1" applyAlignment="1">
      <alignment horizontal="center" vertical="center" wrapText="1"/>
    </xf>
    <xf numFmtId="0" fontId="16" fillId="0" borderId="6" xfId="2" applyFont="1" applyBorder="1" applyAlignment="1">
      <alignment horizontal="left" vertical="center" wrapText="1"/>
    </xf>
    <xf numFmtId="49" fontId="15" fillId="0" borderId="6" xfId="2" quotePrefix="1" applyNumberFormat="1" applyFont="1" applyBorder="1" applyAlignment="1">
      <alignment horizontal="center" vertical="center" wrapText="1"/>
    </xf>
    <xf numFmtId="49" fontId="16" fillId="0" borderId="6" xfId="2" quotePrefix="1" applyNumberFormat="1" applyFont="1" applyBorder="1" applyAlignment="1">
      <alignment horizontal="center" vertical="center" wrapText="1"/>
    </xf>
    <xf numFmtId="0" fontId="17" fillId="3" borderId="6" xfId="0" applyFont="1" applyFill="1" applyBorder="1" applyAlignment="1">
      <alignment horizontal="center" vertical="center" wrapText="1"/>
    </xf>
    <xf numFmtId="0" fontId="14" fillId="3" borderId="6" xfId="3" applyFont="1" applyFill="1" applyBorder="1" applyAlignment="1">
      <alignment horizontal="left" vertical="center" wrapText="1"/>
    </xf>
    <xf numFmtId="0" fontId="14" fillId="3" borderId="6" xfId="3" applyFont="1" applyFill="1" applyBorder="1" applyAlignment="1">
      <alignment horizontal="center" vertical="center" wrapText="1"/>
    </xf>
    <xf numFmtId="4" fontId="15" fillId="4" borderId="7" xfId="0" applyNumberFormat="1" applyFont="1" applyFill="1" applyBorder="1" applyAlignment="1" applyProtection="1">
      <alignment horizontal="left" vertical="center" wrapText="1"/>
      <protection locked="0"/>
    </xf>
    <xf numFmtId="49" fontId="15" fillId="4" borderId="7" xfId="0" applyNumberFormat="1" applyFont="1" applyFill="1" applyBorder="1" applyAlignment="1" applyProtection="1">
      <alignment horizontal="center" vertical="center" wrapText="1"/>
      <protection locked="0"/>
    </xf>
    <xf numFmtId="4" fontId="15" fillId="4" borderId="7" xfId="0" applyNumberFormat="1" applyFont="1" applyFill="1" applyBorder="1" applyAlignment="1" applyProtection="1">
      <alignment horizontal="center" vertical="center" wrapText="1"/>
      <protection locked="0"/>
    </xf>
    <xf numFmtId="164" fontId="15" fillId="0" borderId="7" xfId="0" applyNumberFormat="1" applyFont="1" applyBorder="1" applyAlignment="1" applyProtection="1">
      <alignment horizontal="right" vertical="center" wrapText="1"/>
      <protection locked="0"/>
    </xf>
    <xf numFmtId="4" fontId="16" fillId="4" borderId="7" xfId="0" applyNumberFormat="1" applyFont="1" applyFill="1" applyBorder="1" applyAlignment="1" applyProtection="1">
      <alignment horizontal="left" vertical="center" wrapText="1"/>
      <protection locked="0"/>
    </xf>
    <xf numFmtId="49" fontId="16" fillId="4" borderId="7" xfId="0" applyNumberFormat="1" applyFont="1" applyFill="1" applyBorder="1" applyAlignment="1" applyProtection="1">
      <alignment horizontal="center" vertical="center" wrapText="1"/>
      <protection locked="0"/>
    </xf>
    <xf numFmtId="165" fontId="14" fillId="3" borderId="6" xfId="1" applyNumberFormat="1" applyFont="1" applyFill="1" applyBorder="1" applyAlignment="1" applyProtection="1">
      <alignment horizontal="right" vertical="center" wrapText="1"/>
      <protection locked="0"/>
    </xf>
    <xf numFmtId="0" fontId="15" fillId="4" borderId="7" xfId="0" applyFont="1" applyFill="1" applyBorder="1" applyAlignment="1" applyProtection="1">
      <alignment horizontal="left" vertical="center" wrapText="1"/>
      <protection locked="0"/>
    </xf>
    <xf numFmtId="0" fontId="15" fillId="4" borderId="7" xfId="0" applyFont="1" applyFill="1" applyBorder="1" applyAlignment="1" applyProtection="1">
      <alignment horizontal="center" vertical="center" wrapText="1"/>
      <protection locked="0"/>
    </xf>
    <xf numFmtId="165" fontId="15" fillId="4" borderId="7" xfId="0" applyNumberFormat="1" applyFont="1" applyFill="1" applyBorder="1" applyAlignment="1" applyProtection="1">
      <alignment horizontal="right" vertical="center" wrapText="1"/>
      <protection locked="0"/>
    </xf>
    <xf numFmtId="164" fontId="14" fillId="0" borderId="7" xfId="0" applyNumberFormat="1" applyFont="1" applyBorder="1" applyAlignment="1" applyProtection="1">
      <alignment horizontal="right" vertical="center" wrapText="1"/>
      <protection locked="0"/>
    </xf>
    <xf numFmtId="0" fontId="17" fillId="4" borderId="6" xfId="0" applyFont="1" applyFill="1" applyBorder="1" applyAlignment="1">
      <alignment vertical="center" wrapText="1"/>
    </xf>
    <xf numFmtId="49" fontId="17" fillId="4" borderId="6" xfId="0" applyNumberFormat="1" applyFont="1" applyFill="1" applyBorder="1" applyAlignment="1">
      <alignment horizontal="center" vertical="center"/>
    </xf>
    <xf numFmtId="0" fontId="17" fillId="4" borderId="6" xfId="0" applyFont="1" applyFill="1" applyBorder="1" applyAlignment="1">
      <alignment vertical="center"/>
    </xf>
    <xf numFmtId="0" fontId="18" fillId="4" borderId="6" xfId="0" applyFont="1" applyFill="1" applyBorder="1" applyAlignment="1">
      <alignment vertical="center" wrapText="1"/>
    </xf>
    <xf numFmtId="49" fontId="18" fillId="4" borderId="6" xfId="0" applyNumberFormat="1" applyFont="1" applyFill="1" applyBorder="1" applyAlignment="1">
      <alignment horizontal="center" vertical="center"/>
    </xf>
    <xf numFmtId="0" fontId="18" fillId="4" borderId="6" xfId="0" applyFont="1" applyFill="1" applyBorder="1" applyAlignment="1">
      <alignment vertical="center"/>
    </xf>
    <xf numFmtId="41" fontId="18" fillId="4" borderId="6" xfId="0" applyNumberFormat="1" applyFont="1" applyFill="1" applyBorder="1" applyAlignment="1">
      <alignment horizontal="right" vertical="center" wrapText="1"/>
    </xf>
    <xf numFmtId="0" fontId="18" fillId="4" borderId="6" xfId="0" applyFont="1" applyFill="1" applyBorder="1" applyAlignment="1">
      <alignment horizontal="left" vertical="center" wrapText="1"/>
    </xf>
    <xf numFmtId="0" fontId="18" fillId="4" borderId="6" xfId="0" quotePrefix="1" applyFont="1" applyFill="1" applyBorder="1" applyAlignment="1">
      <alignment vertical="center" wrapText="1"/>
    </xf>
    <xf numFmtId="0" fontId="19" fillId="4" borderId="6" xfId="0" applyFont="1" applyFill="1" applyBorder="1" applyAlignment="1">
      <alignment vertical="center" wrapText="1"/>
    </xf>
    <xf numFmtId="49" fontId="19" fillId="4" borderId="6" xfId="0" applyNumberFormat="1" applyFont="1" applyFill="1" applyBorder="1" applyAlignment="1">
      <alignment horizontal="center" vertical="center"/>
    </xf>
    <xf numFmtId="0" fontId="16" fillId="4" borderId="6" xfId="0" applyFont="1" applyFill="1" applyBorder="1" applyAlignment="1">
      <alignment vertical="center" wrapText="1"/>
    </xf>
    <xf numFmtId="0" fontId="14" fillId="2" borderId="1" xfId="0" applyFont="1" applyFill="1" applyBorder="1" applyAlignment="1">
      <alignment horizontal="center" vertical="justify"/>
    </xf>
    <xf numFmtId="164" fontId="0" fillId="0" borderId="0" xfId="0" applyNumberFormat="1"/>
    <xf numFmtId="0" fontId="2" fillId="0" borderId="0" xfId="0" applyFont="1" applyAlignment="1">
      <alignment horizontal="center"/>
    </xf>
    <xf numFmtId="0" fontId="5" fillId="0" borderId="0" xfId="0" applyFont="1" applyAlignment="1">
      <alignment horizontal="center"/>
    </xf>
    <xf numFmtId="0" fontId="14" fillId="0" borderId="7" xfId="0" applyFont="1" applyBorder="1" applyAlignment="1" applyProtection="1">
      <alignment horizontal="center" vertical="center" wrapText="1"/>
      <protection locked="0"/>
    </xf>
    <xf numFmtId="0" fontId="14" fillId="0" borderId="7" xfId="0" applyFont="1" applyBorder="1" applyAlignment="1" applyProtection="1">
      <alignment horizontal="left" vertical="center" wrapText="1"/>
      <protection locked="0"/>
    </xf>
    <xf numFmtId="10" fontId="14" fillId="0" borderId="7" xfId="0" applyNumberFormat="1" applyFont="1" applyBorder="1" applyAlignment="1" applyProtection="1">
      <alignment horizontal="right" vertical="center" wrapText="1"/>
      <protection locked="0"/>
    </xf>
    <xf numFmtId="4" fontId="15" fillId="0" borderId="7" xfId="0" applyNumberFormat="1" applyFont="1" applyBorder="1" applyAlignment="1" applyProtection="1">
      <alignment horizontal="center" vertical="center" wrapText="1"/>
      <protection locked="0"/>
    </xf>
    <xf numFmtId="4" fontId="15" fillId="0" borderId="7" xfId="0" applyNumberFormat="1" applyFont="1" applyBorder="1" applyAlignment="1" applyProtection="1">
      <alignment horizontal="left" vertical="center" wrapText="1"/>
      <protection locked="0"/>
    </xf>
    <xf numFmtId="0" fontId="15" fillId="0" borderId="7" xfId="0" applyFont="1" applyBorder="1" applyAlignment="1" applyProtection="1">
      <alignment horizontal="center" vertical="center" wrapText="1"/>
      <protection locked="0"/>
    </xf>
    <xf numFmtId="37" fontId="15" fillId="0" borderId="7" xfId="0" applyNumberFormat="1" applyFont="1" applyBorder="1" applyAlignment="1" applyProtection="1">
      <alignment horizontal="right" vertical="center" wrapText="1"/>
      <protection locked="0"/>
    </xf>
    <xf numFmtId="10" fontId="15" fillId="0" borderId="7" xfId="0" applyNumberFormat="1" applyFont="1" applyBorder="1" applyAlignment="1" applyProtection="1">
      <alignment horizontal="right" vertical="center" wrapText="1"/>
      <protection locked="0"/>
    </xf>
    <xf numFmtId="0" fontId="17" fillId="4" borderId="6" xfId="0" applyFont="1" applyFill="1" applyBorder="1" applyAlignment="1">
      <alignment horizontal="center" vertical="center"/>
    </xf>
    <xf numFmtId="0" fontId="14" fillId="4" borderId="6" xfId="0" applyFont="1" applyFill="1" applyBorder="1" applyAlignment="1">
      <alignment horizontal="left" vertical="center" wrapText="1"/>
    </xf>
    <xf numFmtId="49" fontId="14" fillId="4" borderId="6" xfId="0" applyNumberFormat="1" applyFont="1" applyFill="1" applyBorder="1" applyAlignment="1">
      <alignment horizontal="center" vertical="center"/>
    </xf>
    <xf numFmtId="0" fontId="18" fillId="4" borderId="6" xfId="0" applyFont="1" applyFill="1" applyBorder="1" applyAlignment="1">
      <alignment horizontal="center" vertical="center"/>
    </xf>
    <xf numFmtId="0" fontId="15" fillId="4" borderId="6" xfId="0" applyFont="1" applyFill="1" applyBorder="1" applyAlignment="1">
      <alignment horizontal="left" vertical="center" wrapText="1"/>
    </xf>
    <xf numFmtId="49" fontId="15" fillId="4" borderId="6" xfId="0" applyNumberFormat="1" applyFont="1" applyFill="1" applyBorder="1" applyAlignment="1">
      <alignment horizontal="center" vertical="center"/>
    </xf>
    <xf numFmtId="41" fontId="20" fillId="4" borderId="6" xfId="4" applyNumberFormat="1" applyFont="1" applyFill="1" applyBorder="1" applyAlignment="1" applyProtection="1">
      <alignment horizontal="right" vertical="center" wrapText="1"/>
      <protection locked="0"/>
    </xf>
    <xf numFmtId="43" fontId="17" fillId="4" borderId="6" xfId="0" applyNumberFormat="1" applyFont="1" applyFill="1" applyBorder="1" applyAlignment="1">
      <alignment horizontal="right" vertical="center" wrapText="1"/>
    </xf>
    <xf numFmtId="0" fontId="2" fillId="0" borderId="0" xfId="0" applyFont="1" applyAlignment="1">
      <alignment horizontal="left"/>
    </xf>
    <xf numFmtId="0" fontId="2" fillId="0" borderId="0" xfId="0" applyFont="1" applyAlignment="1">
      <alignment horizontal="right"/>
    </xf>
    <xf numFmtId="0" fontId="3" fillId="0" borderId="0" xfId="0" applyFont="1" applyAlignment="1">
      <alignment horizontal="left"/>
    </xf>
    <xf numFmtId="0" fontId="9" fillId="0" borderId="0" xfId="0" applyFont="1" applyAlignment="1">
      <alignment horizontal="center" vertical="justify"/>
    </xf>
    <xf numFmtId="0" fontId="14" fillId="3" borderId="2" xfId="0" applyFont="1" applyFill="1" applyBorder="1" applyAlignment="1">
      <alignment horizontal="center" vertical="center" wrapText="1"/>
    </xf>
    <xf numFmtId="0" fontId="14" fillId="3" borderId="5" xfId="0" applyFont="1" applyFill="1" applyBorder="1" applyAlignment="1">
      <alignment horizontal="center" vertical="center" wrapText="1"/>
    </xf>
    <xf numFmtId="49" fontId="14" fillId="3" borderId="2" xfId="0" applyNumberFormat="1" applyFont="1" applyFill="1" applyBorder="1" applyAlignment="1">
      <alignment horizontal="center" vertical="center" wrapText="1"/>
    </xf>
    <xf numFmtId="49" fontId="14" fillId="3" borderId="5" xfId="0" applyNumberFormat="1" applyFont="1" applyFill="1" applyBorder="1" applyAlignment="1">
      <alignment horizontal="center" vertical="center" wrapText="1"/>
    </xf>
    <xf numFmtId="0" fontId="13" fillId="3" borderId="5" xfId="0" applyFont="1" applyFill="1" applyBorder="1" applyAlignment="1">
      <alignment vertical="center"/>
    </xf>
    <xf numFmtId="164" fontId="14" fillId="3" borderId="3" xfId="1" applyNumberFormat="1" applyFont="1" applyFill="1" applyBorder="1" applyAlignment="1" applyProtection="1">
      <alignment horizontal="center" vertical="center" wrapText="1"/>
      <protection locked="0"/>
    </xf>
    <xf numFmtId="164" fontId="14" fillId="3" borderId="4" xfId="1" applyNumberFormat="1" applyFont="1" applyFill="1" applyBorder="1" applyAlignment="1" applyProtection="1">
      <alignment horizontal="center" vertical="center" wrapText="1"/>
      <protection locked="0"/>
    </xf>
    <xf numFmtId="0" fontId="17" fillId="3" borderId="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8" fillId="4" borderId="2" xfId="0" applyFont="1" applyFill="1" applyBorder="1" applyAlignment="1">
      <alignment horizontal="center" vertical="center"/>
    </xf>
    <xf numFmtId="0" fontId="18" fillId="4" borderId="5" xfId="0" applyFont="1" applyFill="1" applyBorder="1" applyAlignment="1">
      <alignment horizontal="center" vertical="center"/>
    </xf>
    <xf numFmtId="0" fontId="14" fillId="2" borderId="8" xfId="0" applyFont="1" applyFill="1" applyBorder="1" applyAlignment="1">
      <alignment horizontal="center" vertical="justify" wrapText="1"/>
    </xf>
    <xf numFmtId="0" fontId="14" fillId="2" borderId="9" xfId="0" applyFont="1" applyFill="1" applyBorder="1" applyAlignment="1">
      <alignment horizontal="center" vertical="justify" wrapText="1"/>
    </xf>
  </cellXfs>
  <cellStyles count="9">
    <cellStyle name="Comma" xfId="1" builtinId="3"/>
    <cellStyle name="Comma 2" xfId="4" xr:uid="{00000000-0005-0000-0000-000001000000}"/>
    <cellStyle name="Comma 2 2" xfId="5" xr:uid="{487A801F-B08E-47C3-9FE6-8EED12339CEC}"/>
    <cellStyle name="Comma 5" xfId="6" xr:uid="{B7544982-C966-405B-A9D7-E55F7E3FC01B}"/>
    <cellStyle name="Currency [0] 2" xfId="2" xr:uid="{00000000-0005-0000-0000-000002000000}"/>
    <cellStyle name="Normal" xfId="0" builtinId="0"/>
    <cellStyle name="Normal 2 2" xfId="3" xr:uid="{00000000-0005-0000-0000-000004000000}"/>
    <cellStyle name="Normal 3 3" xfId="7" xr:uid="{8B24AB6C-4DAE-4EA1-A8D4-241416806326}"/>
    <cellStyle name="Normal 5" xfId="8" xr:uid="{59D236CE-D4AA-453D-9686-0D4F2E2BD6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fitToPage="1"/>
  </sheetPr>
  <dimension ref="A1:E28"/>
  <sheetViews>
    <sheetView topLeftCell="A7" workbookViewId="0">
      <selection activeCell="C4" sqref="C4"/>
    </sheetView>
  </sheetViews>
  <sheetFormatPr defaultRowHeight="12.5"/>
  <cols>
    <col min="1" max="1" width="25.453125" customWidth="1"/>
    <col min="2" max="2" width="7.36328125" customWidth="1"/>
    <col min="3" max="3" width="48.6328125" customWidth="1"/>
    <col min="4" max="4" width="36" customWidth="1"/>
    <col min="5" max="5" width="15" customWidth="1"/>
  </cols>
  <sheetData>
    <row r="1" spans="1:5" ht="15" customHeight="1">
      <c r="A1" s="11" t="s">
        <v>197</v>
      </c>
      <c r="B1" s="1"/>
      <c r="C1" s="1" t="s">
        <v>0</v>
      </c>
      <c r="D1" s="1" t="s">
        <v>0</v>
      </c>
      <c r="E1" s="1" t="s">
        <v>0</v>
      </c>
    </row>
    <row r="2" spans="1:5" ht="15" customHeight="1">
      <c r="A2" s="11" t="s">
        <v>198</v>
      </c>
      <c r="B2" s="1"/>
      <c r="C2" s="1" t="s">
        <v>0</v>
      </c>
      <c r="D2" s="1" t="s">
        <v>0</v>
      </c>
      <c r="E2" s="1" t="s">
        <v>0</v>
      </c>
    </row>
    <row r="3" spans="1:5" ht="27" customHeight="1">
      <c r="A3" s="1" t="s">
        <v>0</v>
      </c>
      <c r="B3" s="1" t="s">
        <v>0</v>
      </c>
      <c r="C3" s="2" t="s">
        <v>1</v>
      </c>
      <c r="D3" s="1"/>
      <c r="E3" s="1" t="s">
        <v>0</v>
      </c>
    </row>
    <row r="4" spans="1:5" ht="15" customHeight="1">
      <c r="A4" s="1" t="s">
        <v>0</v>
      </c>
      <c r="B4" s="1" t="s">
        <v>0</v>
      </c>
      <c r="C4" s="1" t="s">
        <v>0</v>
      </c>
      <c r="D4" s="1" t="s">
        <v>0</v>
      </c>
      <c r="E4" s="1" t="s">
        <v>0</v>
      </c>
    </row>
    <row r="5" spans="1:5" ht="15" customHeight="1">
      <c r="A5" s="1" t="s">
        <v>0</v>
      </c>
      <c r="B5" s="1" t="s">
        <v>0</v>
      </c>
      <c r="C5" s="78" t="s">
        <v>574</v>
      </c>
      <c r="D5" s="77">
        <v>2021</v>
      </c>
      <c r="E5" s="1" t="s">
        <v>0</v>
      </c>
    </row>
    <row r="6" spans="1:5" ht="15" customHeight="1">
      <c r="A6" s="1" t="s">
        <v>0</v>
      </c>
      <c r="B6" s="1" t="s">
        <v>0</v>
      </c>
      <c r="C6" s="1" t="s">
        <v>0</v>
      </c>
      <c r="D6" s="1" t="s">
        <v>0</v>
      </c>
      <c r="E6" s="1" t="s">
        <v>0</v>
      </c>
    </row>
    <row r="7" spans="1:5" ht="15" customHeight="1">
      <c r="A7" s="1" t="s">
        <v>0</v>
      </c>
      <c r="B7" s="1" t="s">
        <v>0</v>
      </c>
      <c r="C7" s="1" t="s">
        <v>0</v>
      </c>
      <c r="D7" s="1" t="s">
        <v>2</v>
      </c>
      <c r="E7" s="1" t="s">
        <v>0</v>
      </c>
    </row>
    <row r="8" spans="1:5" ht="15" customHeight="1">
      <c r="A8" s="1" t="s">
        <v>0</v>
      </c>
      <c r="B8" s="3" t="s">
        <v>3</v>
      </c>
      <c r="C8" s="3" t="s">
        <v>4</v>
      </c>
      <c r="D8" s="3" t="s">
        <v>5</v>
      </c>
      <c r="E8" s="1" t="s">
        <v>0</v>
      </c>
    </row>
    <row r="9" spans="1:5" ht="15" customHeight="1">
      <c r="A9" s="1" t="s">
        <v>0</v>
      </c>
      <c r="B9" s="4" t="s">
        <v>6</v>
      </c>
      <c r="C9" s="5" t="s">
        <v>7</v>
      </c>
      <c r="D9" s="5" t="s">
        <v>8</v>
      </c>
      <c r="E9" s="1" t="s">
        <v>0</v>
      </c>
    </row>
    <row r="10" spans="1:5" ht="15" customHeight="1">
      <c r="A10" s="1" t="s">
        <v>0</v>
      </c>
      <c r="B10" s="4" t="s">
        <v>9</v>
      </c>
      <c r="C10" s="5" t="s">
        <v>10</v>
      </c>
      <c r="D10" s="5" t="s">
        <v>11</v>
      </c>
      <c r="E10" s="1" t="s">
        <v>0</v>
      </c>
    </row>
    <row r="11" spans="1:5" ht="15" customHeight="1">
      <c r="A11" s="1" t="s">
        <v>0</v>
      </c>
      <c r="B11" s="4" t="s">
        <v>12</v>
      </c>
      <c r="C11" s="5" t="s">
        <v>13</v>
      </c>
      <c r="D11" s="5" t="s">
        <v>14</v>
      </c>
      <c r="E11" s="1" t="s">
        <v>0</v>
      </c>
    </row>
    <row r="12" spans="1:5" ht="15" customHeight="1">
      <c r="A12" s="1" t="s">
        <v>0</v>
      </c>
      <c r="B12" s="4" t="s">
        <v>15</v>
      </c>
      <c r="C12" s="5" t="s">
        <v>16</v>
      </c>
      <c r="D12" s="5" t="s">
        <v>17</v>
      </c>
      <c r="E12" s="1" t="s">
        <v>0</v>
      </c>
    </row>
    <row r="13" spans="1:5" ht="15" customHeight="1">
      <c r="A13" s="1" t="s">
        <v>0</v>
      </c>
      <c r="B13" s="4" t="s">
        <v>18</v>
      </c>
      <c r="C13" s="5" t="s">
        <v>19</v>
      </c>
      <c r="D13" s="5" t="s">
        <v>20</v>
      </c>
      <c r="E13" s="1" t="s">
        <v>0</v>
      </c>
    </row>
    <row r="14" spans="1:5" ht="15" customHeight="1">
      <c r="A14" s="1" t="s">
        <v>0</v>
      </c>
      <c r="B14" s="1" t="s">
        <v>0</v>
      </c>
      <c r="C14" s="1" t="s">
        <v>0</v>
      </c>
      <c r="D14" s="1" t="s">
        <v>0</v>
      </c>
      <c r="E14" s="1" t="s">
        <v>0</v>
      </c>
    </row>
    <row r="15" spans="1:5" ht="15" customHeight="1">
      <c r="A15" s="1" t="s">
        <v>0</v>
      </c>
      <c r="B15" s="1" t="s">
        <v>21</v>
      </c>
      <c r="C15" s="79" t="s">
        <v>22</v>
      </c>
      <c r="D15" s="79"/>
      <c r="E15" s="1" t="s">
        <v>0</v>
      </c>
    </row>
    <row r="16" spans="1:5" ht="15" customHeight="1">
      <c r="A16" s="1" t="s">
        <v>0</v>
      </c>
      <c r="B16" s="6" t="s">
        <v>0</v>
      </c>
      <c r="C16" s="79"/>
      <c r="D16" s="79"/>
      <c r="E16" s="1"/>
    </row>
    <row r="17" spans="1:5" ht="15" customHeight="1">
      <c r="A17" s="1" t="s">
        <v>0</v>
      </c>
      <c r="B17" s="1" t="s">
        <v>0</v>
      </c>
      <c r="C17" s="1" t="s">
        <v>0</v>
      </c>
      <c r="D17" s="11" t="s">
        <v>199</v>
      </c>
      <c r="E17" s="1" t="s">
        <v>0</v>
      </c>
    </row>
    <row r="18" spans="1:5" ht="15" customHeight="1">
      <c r="A18" s="1" t="s">
        <v>0</v>
      </c>
      <c r="B18" s="1" t="s">
        <v>0</v>
      </c>
      <c r="C18" s="1" t="s">
        <v>0</v>
      </c>
      <c r="D18" s="1" t="s">
        <v>0</v>
      </c>
      <c r="E18" s="1" t="s">
        <v>0</v>
      </c>
    </row>
    <row r="19" spans="1:5" ht="15" customHeight="1">
      <c r="A19" s="80"/>
      <c r="B19" s="80"/>
      <c r="C19" s="7" t="s">
        <v>23</v>
      </c>
      <c r="D19" s="80" t="s">
        <v>25</v>
      </c>
      <c r="E19" s="80"/>
    </row>
    <row r="20" spans="1:5" ht="15" customHeight="1">
      <c r="A20" s="80"/>
      <c r="B20" s="80"/>
      <c r="C20" s="7" t="s">
        <v>26</v>
      </c>
      <c r="D20" s="80"/>
      <c r="E20" s="80"/>
    </row>
    <row r="21" spans="1:5" ht="15" customHeight="1">
      <c r="A21" s="8"/>
      <c r="B21" s="8"/>
      <c r="C21" s="8" t="s">
        <v>28</v>
      </c>
      <c r="D21" s="8" t="s">
        <v>27</v>
      </c>
      <c r="E21" s="8"/>
    </row>
    <row r="22" spans="1:5" ht="15" customHeight="1">
      <c r="A22" s="7" t="s">
        <v>0</v>
      </c>
      <c r="B22" s="7" t="s">
        <v>0</v>
      </c>
      <c r="C22" s="7" t="s">
        <v>0</v>
      </c>
      <c r="D22" s="7" t="s">
        <v>0</v>
      </c>
      <c r="E22" s="7"/>
    </row>
    <row r="27" spans="1:5" ht="15">
      <c r="C27" s="60" t="s">
        <v>200</v>
      </c>
      <c r="D27" s="60" t="s">
        <v>201</v>
      </c>
    </row>
    <row r="28" spans="1:5" ht="15.5">
      <c r="C28" s="59" t="s">
        <v>24</v>
      </c>
      <c r="D28" s="59" t="s">
        <v>202</v>
      </c>
    </row>
  </sheetData>
  <mergeCells count="5">
    <mergeCell ref="C15:D15"/>
    <mergeCell ref="C16:D16"/>
    <mergeCell ref="A19:B20"/>
    <mergeCell ref="D19:D20"/>
    <mergeCell ref="E19:E20"/>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J62"/>
  <sheetViews>
    <sheetView zoomScaleNormal="100" workbookViewId="0">
      <selection activeCell="F3" sqref="F3"/>
    </sheetView>
  </sheetViews>
  <sheetFormatPr defaultRowHeight="12.5"/>
  <cols>
    <col min="1" max="1" width="68.1796875" bestFit="1" customWidth="1"/>
    <col min="2" max="2" width="8.81640625" bestFit="1" customWidth="1"/>
    <col min="3" max="3" width="8.08984375" bestFit="1" customWidth="1"/>
    <col min="4" max="7" width="28.54296875" customWidth="1"/>
    <col min="8" max="10" width="6.90625" customWidth="1"/>
  </cols>
  <sheetData>
    <row r="1" spans="1:10" ht="28.25" customHeight="1">
      <c r="A1" s="81" t="s">
        <v>203</v>
      </c>
      <c r="B1" s="83" t="s">
        <v>204</v>
      </c>
      <c r="C1" s="83" t="s">
        <v>205</v>
      </c>
      <c r="D1" s="86" t="s">
        <v>206</v>
      </c>
      <c r="E1" s="87"/>
      <c r="F1" s="86" t="s">
        <v>207</v>
      </c>
      <c r="G1" s="87"/>
      <c r="H1" s="1"/>
      <c r="I1" s="1"/>
      <c r="J1" s="1"/>
    </row>
    <row r="2" spans="1:10" ht="25">
      <c r="A2" s="82"/>
      <c r="B2" s="84"/>
      <c r="C2" s="85"/>
      <c r="D2" s="12" t="s">
        <v>296</v>
      </c>
      <c r="E2" s="13" t="s">
        <v>209</v>
      </c>
      <c r="F2" s="14" t="s">
        <v>297</v>
      </c>
      <c r="G2" s="13" t="s">
        <v>209</v>
      </c>
      <c r="H2" s="1"/>
      <c r="I2" s="1"/>
      <c r="J2" s="1"/>
    </row>
    <row r="3" spans="1:10" ht="25">
      <c r="A3" s="15" t="s">
        <v>211</v>
      </c>
      <c r="B3" s="16" t="s">
        <v>34</v>
      </c>
      <c r="C3" s="17"/>
      <c r="D3" s="18">
        <v>3372436164</v>
      </c>
      <c r="E3" s="18">
        <v>3372436164</v>
      </c>
      <c r="F3" s="18">
        <v>3759942465</v>
      </c>
      <c r="G3" s="18">
        <v>3759942465</v>
      </c>
      <c r="H3" s="1"/>
      <c r="I3" s="1"/>
      <c r="J3" s="1"/>
    </row>
    <row r="4" spans="1:10" ht="25">
      <c r="A4" s="19" t="s">
        <v>212</v>
      </c>
      <c r="B4" s="20" t="s">
        <v>35</v>
      </c>
      <c r="C4" s="21"/>
      <c r="D4" s="22">
        <v>0</v>
      </c>
      <c r="E4" s="22">
        <v>0</v>
      </c>
      <c r="F4" s="22">
        <v>0</v>
      </c>
      <c r="G4" s="22">
        <v>0</v>
      </c>
      <c r="H4" s="1"/>
      <c r="I4" s="1"/>
      <c r="J4" s="1"/>
    </row>
    <row r="5" spans="1:10" ht="25">
      <c r="A5" s="19" t="s">
        <v>213</v>
      </c>
      <c r="B5" s="20" t="s">
        <v>36</v>
      </c>
      <c r="C5" s="23"/>
      <c r="D5" s="22">
        <v>3372436164</v>
      </c>
      <c r="E5" s="22">
        <v>3372436164</v>
      </c>
      <c r="F5" s="22">
        <v>3759942465</v>
      </c>
      <c r="G5" s="22">
        <v>3759942465</v>
      </c>
      <c r="H5" s="1"/>
      <c r="I5" s="1"/>
      <c r="J5" s="1"/>
    </row>
    <row r="6" spans="1:10" ht="25">
      <c r="A6" s="19" t="s">
        <v>214</v>
      </c>
      <c r="B6" s="20" t="s">
        <v>215</v>
      </c>
      <c r="C6" s="23"/>
      <c r="D6" s="22">
        <v>2926381370</v>
      </c>
      <c r="E6" s="22">
        <v>2926381370</v>
      </c>
      <c r="F6" s="22">
        <v>3247969862</v>
      </c>
      <c r="G6" s="22">
        <v>3247969862</v>
      </c>
      <c r="H6" s="1"/>
      <c r="I6" s="1"/>
      <c r="J6" s="1"/>
    </row>
    <row r="7" spans="1:10" ht="25">
      <c r="A7" s="19" t="s">
        <v>216</v>
      </c>
      <c r="B7" s="20" t="s">
        <v>217</v>
      </c>
      <c r="C7" s="23"/>
      <c r="D7" s="22">
        <v>446054794</v>
      </c>
      <c r="E7" s="22">
        <v>446054794</v>
      </c>
      <c r="F7" s="22">
        <v>511972603</v>
      </c>
      <c r="G7" s="22">
        <v>511972603</v>
      </c>
      <c r="H7" s="1"/>
      <c r="I7" s="1"/>
      <c r="J7" s="1"/>
    </row>
    <row r="8" spans="1:10" ht="25">
      <c r="A8" s="19" t="s">
        <v>218</v>
      </c>
      <c r="B8" s="20" t="s">
        <v>219</v>
      </c>
      <c r="C8" s="23"/>
      <c r="D8" s="22">
        <v>0</v>
      </c>
      <c r="E8" s="22">
        <v>0</v>
      </c>
      <c r="F8" s="22">
        <v>0</v>
      </c>
      <c r="G8" s="22">
        <v>0</v>
      </c>
      <c r="H8" s="1"/>
      <c r="I8" s="1"/>
      <c r="J8" s="1"/>
    </row>
    <row r="9" spans="1:10" ht="25">
      <c r="A9" s="19" t="s">
        <v>220</v>
      </c>
      <c r="B9" s="20" t="s">
        <v>221</v>
      </c>
      <c r="C9" s="23"/>
      <c r="D9" s="22">
        <v>0</v>
      </c>
      <c r="E9" s="22">
        <v>0</v>
      </c>
      <c r="F9" s="22">
        <v>0</v>
      </c>
      <c r="G9" s="22">
        <v>0</v>
      </c>
      <c r="H9" s="1"/>
      <c r="I9" s="1"/>
      <c r="J9" s="1"/>
    </row>
    <row r="10" spans="1:10" ht="25">
      <c r="A10" s="19" t="s">
        <v>222</v>
      </c>
      <c r="B10" s="24" t="s">
        <v>37</v>
      </c>
      <c r="C10" s="23"/>
      <c r="D10" s="22">
        <v>0</v>
      </c>
      <c r="E10" s="22">
        <v>0</v>
      </c>
      <c r="F10" s="22">
        <v>0</v>
      </c>
      <c r="G10" s="22">
        <v>0</v>
      </c>
      <c r="H10" s="1"/>
      <c r="I10" s="1"/>
      <c r="J10" s="1"/>
    </row>
    <row r="11" spans="1:10" ht="25">
      <c r="A11" s="19" t="s">
        <v>223</v>
      </c>
      <c r="B11" s="24" t="s">
        <v>38</v>
      </c>
      <c r="C11" s="23"/>
      <c r="D11" s="22">
        <v>0</v>
      </c>
      <c r="E11" s="22">
        <v>0</v>
      </c>
      <c r="F11" s="22">
        <v>0</v>
      </c>
      <c r="G11" s="22">
        <v>0</v>
      </c>
      <c r="H11" s="1"/>
      <c r="I11" s="1"/>
      <c r="J11" s="1"/>
    </row>
    <row r="12" spans="1:10" ht="25">
      <c r="A12" s="19" t="s">
        <v>224</v>
      </c>
      <c r="B12" s="24" t="s">
        <v>39</v>
      </c>
      <c r="C12" s="23"/>
      <c r="D12" s="22">
        <v>0</v>
      </c>
      <c r="E12" s="22">
        <v>0</v>
      </c>
      <c r="F12" s="22">
        <v>0</v>
      </c>
      <c r="G12" s="22">
        <v>0</v>
      </c>
      <c r="H12" s="1"/>
      <c r="I12" s="1"/>
      <c r="J12" s="1"/>
    </row>
    <row r="13" spans="1:10" ht="25">
      <c r="A13" s="19" t="s">
        <v>225</v>
      </c>
      <c r="B13" s="24" t="s">
        <v>40</v>
      </c>
      <c r="C13" s="23"/>
      <c r="D13" s="22">
        <v>0</v>
      </c>
      <c r="E13" s="22">
        <v>0</v>
      </c>
      <c r="F13" s="22">
        <v>0</v>
      </c>
      <c r="G13" s="22">
        <v>0</v>
      </c>
      <c r="H13" s="1"/>
      <c r="I13" s="1"/>
      <c r="J13" s="1"/>
    </row>
    <row r="14" spans="1:10" ht="25">
      <c r="A14" s="19" t="s">
        <v>226</v>
      </c>
      <c r="B14" s="24" t="s">
        <v>41</v>
      </c>
      <c r="C14" s="23"/>
      <c r="D14" s="22">
        <v>0</v>
      </c>
      <c r="E14" s="22">
        <v>0</v>
      </c>
      <c r="F14" s="22">
        <v>0</v>
      </c>
      <c r="G14" s="22">
        <v>0</v>
      </c>
      <c r="H14" s="1"/>
      <c r="I14" s="1"/>
      <c r="J14" s="1"/>
    </row>
    <row r="15" spans="1:10" ht="50">
      <c r="A15" s="19" t="s">
        <v>227</v>
      </c>
      <c r="B15" s="24" t="s">
        <v>42</v>
      </c>
      <c r="C15" s="23"/>
      <c r="D15" s="22">
        <v>0</v>
      </c>
      <c r="E15" s="22">
        <v>0</v>
      </c>
      <c r="F15" s="22">
        <v>0</v>
      </c>
      <c r="G15" s="22">
        <v>0</v>
      </c>
      <c r="H15" s="1"/>
      <c r="I15" s="1"/>
      <c r="J15" s="1"/>
    </row>
    <row r="16" spans="1:10" ht="25">
      <c r="A16" s="15" t="s">
        <v>228</v>
      </c>
      <c r="B16" s="16" t="s">
        <v>43</v>
      </c>
      <c r="C16" s="17"/>
      <c r="D16" s="18">
        <v>0</v>
      </c>
      <c r="E16" s="18">
        <v>0</v>
      </c>
      <c r="F16" s="18">
        <v>0</v>
      </c>
      <c r="G16" s="18">
        <v>0</v>
      </c>
      <c r="H16" s="1"/>
      <c r="I16" s="1"/>
      <c r="J16" s="1"/>
    </row>
    <row r="17" spans="1:10" ht="25">
      <c r="A17" s="19" t="s">
        <v>229</v>
      </c>
      <c r="B17" s="24" t="s">
        <v>44</v>
      </c>
      <c r="C17" s="23"/>
      <c r="D17" s="22">
        <v>0</v>
      </c>
      <c r="E17" s="22">
        <v>0</v>
      </c>
      <c r="F17" s="22">
        <v>0</v>
      </c>
      <c r="G17" s="22">
        <v>0</v>
      </c>
      <c r="H17" s="1"/>
      <c r="I17" s="1"/>
      <c r="J17" s="1"/>
    </row>
    <row r="18" spans="1:10" ht="25">
      <c r="A18" s="25" t="s">
        <v>230</v>
      </c>
      <c r="B18" s="20" t="s">
        <v>231</v>
      </c>
      <c r="C18" s="21"/>
      <c r="D18" s="22">
        <v>0</v>
      </c>
      <c r="E18" s="22">
        <v>0</v>
      </c>
      <c r="F18" s="22">
        <v>0</v>
      </c>
      <c r="G18" s="22">
        <v>0</v>
      </c>
      <c r="H18" s="1"/>
      <c r="I18" s="1"/>
      <c r="J18" s="1"/>
    </row>
    <row r="19" spans="1:10" ht="25">
      <c r="A19" s="25" t="s">
        <v>232</v>
      </c>
      <c r="B19" s="20" t="s">
        <v>233</v>
      </c>
      <c r="C19" s="21"/>
      <c r="D19" s="22">
        <v>0</v>
      </c>
      <c r="E19" s="22">
        <v>0</v>
      </c>
      <c r="F19" s="22">
        <v>0</v>
      </c>
      <c r="G19" s="22">
        <v>0</v>
      </c>
      <c r="H19" s="1"/>
      <c r="I19" s="1"/>
      <c r="J19" s="1"/>
    </row>
    <row r="20" spans="1:10" ht="25">
      <c r="A20" s="25" t="s">
        <v>234</v>
      </c>
      <c r="B20" s="20" t="s">
        <v>45</v>
      </c>
      <c r="C20" s="23"/>
      <c r="D20" s="22">
        <v>0</v>
      </c>
      <c r="E20" s="22">
        <v>0</v>
      </c>
      <c r="F20" s="22">
        <v>0</v>
      </c>
      <c r="G20" s="22">
        <v>0</v>
      </c>
      <c r="H20" s="1"/>
      <c r="I20" s="1"/>
      <c r="J20" s="1"/>
    </row>
    <row r="21" spans="1:10" ht="25">
      <c r="A21" s="25" t="s">
        <v>235</v>
      </c>
      <c r="B21" s="20" t="s">
        <v>46</v>
      </c>
      <c r="C21" s="23"/>
      <c r="D21" s="22">
        <v>0</v>
      </c>
      <c r="E21" s="22">
        <v>0</v>
      </c>
      <c r="F21" s="22">
        <v>0</v>
      </c>
      <c r="G21" s="22">
        <v>0</v>
      </c>
      <c r="H21" s="1"/>
      <c r="I21" s="1"/>
      <c r="J21" s="1"/>
    </row>
    <row r="22" spans="1:10" ht="37.5">
      <c r="A22" s="25" t="s">
        <v>236</v>
      </c>
      <c r="B22" s="20" t="s">
        <v>47</v>
      </c>
      <c r="C22" s="23"/>
      <c r="D22" s="22">
        <v>0</v>
      </c>
      <c r="E22" s="22">
        <v>0</v>
      </c>
      <c r="F22" s="22">
        <v>0</v>
      </c>
      <c r="G22" s="22">
        <v>0</v>
      </c>
      <c r="H22" s="1"/>
      <c r="I22" s="1"/>
      <c r="J22" s="1"/>
    </row>
    <row r="23" spans="1:10" ht="25">
      <c r="A23" s="25" t="s">
        <v>237</v>
      </c>
      <c r="B23" s="20" t="s">
        <v>48</v>
      </c>
      <c r="C23" s="23"/>
      <c r="D23" s="22">
        <v>0</v>
      </c>
      <c r="E23" s="22">
        <v>0</v>
      </c>
      <c r="F23" s="22">
        <v>0</v>
      </c>
      <c r="G23" s="22">
        <v>0</v>
      </c>
      <c r="H23" s="1"/>
      <c r="I23" s="1"/>
      <c r="J23" s="1"/>
    </row>
    <row r="24" spans="1:10" ht="25">
      <c r="A24" s="15" t="s">
        <v>238</v>
      </c>
      <c r="B24" s="16" t="s">
        <v>49</v>
      </c>
      <c r="C24" s="17"/>
      <c r="D24" s="18">
        <v>1128259398</v>
      </c>
      <c r="E24" s="18">
        <v>1128259398</v>
      </c>
      <c r="F24" s="18">
        <v>1096256419</v>
      </c>
      <c r="G24" s="18">
        <v>1096256419</v>
      </c>
      <c r="H24" s="1"/>
      <c r="I24" s="1"/>
      <c r="J24" s="1"/>
    </row>
    <row r="25" spans="1:10" ht="25">
      <c r="A25" s="25" t="s">
        <v>239</v>
      </c>
      <c r="B25" s="20" t="s">
        <v>50</v>
      </c>
      <c r="C25" s="23"/>
      <c r="D25" s="22">
        <v>488635221</v>
      </c>
      <c r="E25" s="22">
        <v>488635221</v>
      </c>
      <c r="F25" s="22">
        <v>468886350</v>
      </c>
      <c r="G25" s="22">
        <v>468886350</v>
      </c>
      <c r="H25" s="1"/>
      <c r="I25" s="1"/>
      <c r="J25" s="1"/>
    </row>
    <row r="26" spans="1:10" ht="25">
      <c r="A26" s="25" t="s">
        <v>240</v>
      </c>
      <c r="B26" s="20" t="s">
        <v>51</v>
      </c>
      <c r="C26" s="21"/>
      <c r="D26" s="22">
        <v>69420000</v>
      </c>
      <c r="E26" s="22">
        <v>69420000</v>
      </c>
      <c r="F26" s="22">
        <v>69690000</v>
      </c>
      <c r="G26" s="22">
        <v>69690000</v>
      </c>
      <c r="H26" s="1"/>
      <c r="I26" s="1"/>
      <c r="J26" s="1"/>
    </row>
    <row r="27" spans="1:10" ht="25">
      <c r="A27" s="26" t="s">
        <v>241</v>
      </c>
      <c r="B27" s="27" t="s">
        <v>242</v>
      </c>
      <c r="C27" s="21"/>
      <c r="D27" s="22">
        <v>69000000</v>
      </c>
      <c r="E27" s="22">
        <v>69000000</v>
      </c>
      <c r="F27" s="22">
        <v>69000000</v>
      </c>
      <c r="G27" s="22">
        <v>69000000</v>
      </c>
      <c r="H27" s="1"/>
      <c r="I27" s="1"/>
      <c r="J27" s="1"/>
    </row>
    <row r="28" spans="1:10" ht="25">
      <c r="A28" s="26" t="s">
        <v>243</v>
      </c>
      <c r="B28" s="27" t="s">
        <v>244</v>
      </c>
      <c r="C28" s="21"/>
      <c r="D28" s="22">
        <v>420000</v>
      </c>
      <c r="E28" s="22">
        <v>420000</v>
      </c>
      <c r="F28" s="22">
        <v>690000</v>
      </c>
      <c r="G28" s="22">
        <v>690000</v>
      </c>
      <c r="H28" s="1"/>
      <c r="I28" s="1"/>
      <c r="J28" s="1"/>
    </row>
    <row r="29" spans="1:10" ht="50">
      <c r="A29" s="26" t="s">
        <v>245</v>
      </c>
      <c r="B29" s="27" t="s">
        <v>246</v>
      </c>
      <c r="C29" s="21"/>
      <c r="D29" s="22">
        <v>0</v>
      </c>
      <c r="E29" s="22">
        <v>0</v>
      </c>
      <c r="F29" s="22">
        <v>0</v>
      </c>
      <c r="G29" s="22">
        <v>0</v>
      </c>
      <c r="H29" s="1"/>
      <c r="I29" s="1"/>
      <c r="J29" s="1"/>
    </row>
    <row r="30" spans="1:10" ht="25">
      <c r="A30" s="25" t="s">
        <v>247</v>
      </c>
      <c r="B30" s="20" t="s">
        <v>52</v>
      </c>
      <c r="C30" s="21"/>
      <c r="D30" s="22">
        <v>105600000</v>
      </c>
      <c r="E30" s="22">
        <v>105600000</v>
      </c>
      <c r="F30" s="22">
        <v>105600000</v>
      </c>
      <c r="G30" s="22">
        <v>105600000</v>
      </c>
      <c r="H30" s="1"/>
      <c r="I30" s="1"/>
      <c r="J30" s="1"/>
    </row>
    <row r="31" spans="1:10" ht="25">
      <c r="A31" s="25" t="s">
        <v>248</v>
      </c>
      <c r="B31" s="20" t="s">
        <v>53</v>
      </c>
      <c r="C31" s="21"/>
      <c r="D31" s="22">
        <v>213675000</v>
      </c>
      <c r="E31" s="22">
        <v>213675000</v>
      </c>
      <c r="F31" s="22">
        <v>194287500</v>
      </c>
      <c r="G31" s="22">
        <v>194287500</v>
      </c>
      <c r="H31" s="1"/>
      <c r="I31" s="1"/>
      <c r="J31" s="1"/>
    </row>
    <row r="32" spans="1:10" ht="25">
      <c r="A32" s="25" t="s">
        <v>249</v>
      </c>
      <c r="B32" s="20" t="s">
        <v>54</v>
      </c>
      <c r="C32" s="21"/>
      <c r="D32" s="22">
        <v>66000000</v>
      </c>
      <c r="E32" s="22">
        <v>66000000</v>
      </c>
      <c r="F32" s="22">
        <v>66000000</v>
      </c>
      <c r="G32" s="22">
        <v>66000000</v>
      </c>
      <c r="H32" s="1"/>
      <c r="I32" s="1"/>
      <c r="J32" s="1"/>
    </row>
    <row r="33" spans="1:10" ht="25">
      <c r="A33" s="25" t="s">
        <v>250</v>
      </c>
      <c r="B33" s="20" t="s">
        <v>55</v>
      </c>
      <c r="C33" s="21"/>
      <c r="D33" s="22">
        <v>0</v>
      </c>
      <c r="E33" s="22">
        <v>0</v>
      </c>
      <c r="F33" s="22">
        <v>0</v>
      </c>
      <c r="G33" s="22">
        <v>0</v>
      </c>
      <c r="H33" s="1"/>
      <c r="I33" s="1"/>
      <c r="J33" s="1"/>
    </row>
    <row r="34" spans="1:10" ht="37.5">
      <c r="A34" s="28" t="s">
        <v>251</v>
      </c>
      <c r="B34" s="27" t="s">
        <v>252</v>
      </c>
      <c r="C34" s="21"/>
      <c r="D34" s="22">
        <v>0</v>
      </c>
      <c r="E34" s="22">
        <v>0</v>
      </c>
      <c r="F34" s="22">
        <v>0</v>
      </c>
      <c r="G34" s="22">
        <v>0</v>
      </c>
      <c r="H34" s="1"/>
      <c r="I34" s="1"/>
      <c r="J34" s="1"/>
    </row>
    <row r="35" spans="1:10" ht="25">
      <c r="A35" s="28" t="s">
        <v>253</v>
      </c>
      <c r="B35" s="27" t="s">
        <v>254</v>
      </c>
      <c r="C35" s="21"/>
      <c r="D35" s="22">
        <v>0</v>
      </c>
      <c r="E35" s="22">
        <v>0</v>
      </c>
      <c r="F35" s="22">
        <v>0</v>
      </c>
      <c r="G35" s="22">
        <v>0</v>
      </c>
      <c r="H35" s="1"/>
      <c r="I35" s="1"/>
      <c r="J35" s="1"/>
    </row>
    <row r="36" spans="1:10" ht="25">
      <c r="A36" s="25" t="s">
        <v>255</v>
      </c>
      <c r="B36" s="20" t="s">
        <v>56</v>
      </c>
      <c r="C36" s="21"/>
      <c r="D36" s="22">
        <v>0</v>
      </c>
      <c r="E36" s="22">
        <v>0</v>
      </c>
      <c r="F36" s="22">
        <v>0</v>
      </c>
      <c r="G36" s="22">
        <v>0</v>
      </c>
      <c r="H36" s="1"/>
      <c r="I36" s="1"/>
      <c r="J36" s="1"/>
    </row>
    <row r="37" spans="1:10" ht="25">
      <c r="A37" s="25" t="s">
        <v>256</v>
      </c>
      <c r="B37" s="20" t="s">
        <v>57</v>
      </c>
      <c r="C37" s="21"/>
      <c r="D37" s="22">
        <v>79256823</v>
      </c>
      <c r="E37" s="22">
        <v>79256823</v>
      </c>
      <c r="F37" s="22">
        <v>91782441</v>
      </c>
      <c r="G37" s="22">
        <v>91782441</v>
      </c>
      <c r="H37" s="1"/>
      <c r="I37" s="1"/>
      <c r="J37" s="1"/>
    </row>
    <row r="38" spans="1:10" ht="25">
      <c r="A38" s="25" t="s">
        <v>257</v>
      </c>
      <c r="B38" s="20" t="s">
        <v>58</v>
      </c>
      <c r="C38" s="21"/>
      <c r="D38" s="22">
        <v>0</v>
      </c>
      <c r="E38" s="22">
        <v>0</v>
      </c>
      <c r="F38" s="22">
        <v>0</v>
      </c>
      <c r="G38" s="22">
        <v>0</v>
      </c>
      <c r="H38" s="1"/>
      <c r="I38" s="1"/>
      <c r="J38" s="1"/>
    </row>
    <row r="39" spans="1:10" ht="25">
      <c r="A39" s="25" t="s">
        <v>258</v>
      </c>
      <c r="B39" s="29" t="s">
        <v>59</v>
      </c>
      <c r="C39" s="21"/>
      <c r="D39" s="22">
        <v>105672354</v>
      </c>
      <c r="E39" s="22">
        <v>105672354</v>
      </c>
      <c r="F39" s="22">
        <v>100010128</v>
      </c>
      <c r="G39" s="22">
        <v>100010128</v>
      </c>
    </row>
    <row r="40" spans="1:10" ht="25">
      <c r="A40" s="28" t="s">
        <v>259</v>
      </c>
      <c r="B40" s="30" t="s">
        <v>260</v>
      </c>
      <c r="C40" s="21"/>
      <c r="D40" s="22">
        <v>90000000</v>
      </c>
      <c r="E40" s="22">
        <v>90000000</v>
      </c>
      <c r="F40" s="22">
        <v>90000000</v>
      </c>
      <c r="G40" s="22">
        <v>90000000</v>
      </c>
    </row>
    <row r="41" spans="1:10" ht="25">
      <c r="A41" s="28" t="s">
        <v>261</v>
      </c>
      <c r="B41" s="30" t="s">
        <v>262</v>
      </c>
      <c r="C41" s="21"/>
      <c r="D41" s="22">
        <v>0</v>
      </c>
      <c r="E41" s="22">
        <v>0</v>
      </c>
      <c r="F41" s="22">
        <v>0</v>
      </c>
      <c r="G41" s="22">
        <v>0</v>
      </c>
    </row>
    <row r="42" spans="1:10" ht="25">
      <c r="A42" s="28" t="s">
        <v>263</v>
      </c>
      <c r="B42" s="30" t="s">
        <v>264</v>
      </c>
      <c r="C42" s="23"/>
      <c r="D42" s="22">
        <v>0</v>
      </c>
      <c r="E42" s="22">
        <v>0</v>
      </c>
      <c r="F42" s="22">
        <v>0</v>
      </c>
      <c r="G42" s="22">
        <v>0</v>
      </c>
    </row>
    <row r="43" spans="1:10" ht="25">
      <c r="A43" s="28" t="s">
        <v>265</v>
      </c>
      <c r="B43" s="30" t="s">
        <v>266</v>
      </c>
      <c r="C43" s="21"/>
      <c r="D43" s="22">
        <v>0</v>
      </c>
      <c r="E43" s="22">
        <v>0</v>
      </c>
      <c r="F43" s="22">
        <v>0</v>
      </c>
      <c r="G43" s="22">
        <v>0</v>
      </c>
    </row>
    <row r="44" spans="1:10" ht="25">
      <c r="A44" s="28" t="s">
        <v>267</v>
      </c>
      <c r="B44" s="30" t="s">
        <v>268</v>
      </c>
      <c r="C44" s="23"/>
      <c r="D44" s="22">
        <v>0</v>
      </c>
      <c r="E44" s="22">
        <v>0</v>
      </c>
      <c r="F44" s="22">
        <v>0</v>
      </c>
      <c r="G44" s="22">
        <v>0</v>
      </c>
    </row>
    <row r="45" spans="1:10" ht="25">
      <c r="A45" s="28" t="s">
        <v>269</v>
      </c>
      <c r="B45" s="30" t="s">
        <v>270</v>
      </c>
      <c r="C45" s="23"/>
      <c r="D45" s="22">
        <v>0</v>
      </c>
      <c r="E45" s="22">
        <v>0</v>
      </c>
      <c r="F45" s="22">
        <v>0</v>
      </c>
      <c r="G45" s="22">
        <v>0</v>
      </c>
    </row>
    <row r="46" spans="1:10" ht="25">
      <c r="A46" s="28" t="s">
        <v>271</v>
      </c>
      <c r="B46" s="30" t="s">
        <v>272</v>
      </c>
      <c r="C46" s="23"/>
      <c r="D46" s="22">
        <v>4958904</v>
      </c>
      <c r="E46" s="22">
        <v>4958904</v>
      </c>
      <c r="F46" s="22">
        <v>4972678</v>
      </c>
      <c r="G46" s="22">
        <v>4972678</v>
      </c>
    </row>
    <row r="47" spans="1:10" ht="25">
      <c r="A47" s="28" t="s">
        <v>273</v>
      </c>
      <c r="B47" s="30" t="s">
        <v>274</v>
      </c>
      <c r="C47" s="23"/>
      <c r="D47" s="22">
        <v>9613450</v>
      </c>
      <c r="E47" s="22">
        <v>9613450</v>
      </c>
      <c r="F47" s="22">
        <v>3937450</v>
      </c>
      <c r="G47" s="22">
        <v>3937450</v>
      </c>
    </row>
    <row r="48" spans="1:10" ht="25">
      <c r="A48" s="28" t="s">
        <v>275</v>
      </c>
      <c r="B48" s="30" t="s">
        <v>276</v>
      </c>
      <c r="C48" s="23"/>
      <c r="D48" s="22">
        <v>0</v>
      </c>
      <c r="E48" s="22">
        <v>0</v>
      </c>
      <c r="F48" s="22">
        <v>0</v>
      </c>
      <c r="G48" s="22">
        <v>0</v>
      </c>
    </row>
    <row r="49" spans="1:7" ht="25">
      <c r="A49" s="28" t="s">
        <v>277</v>
      </c>
      <c r="B49" s="30" t="s">
        <v>278</v>
      </c>
      <c r="C49" s="21"/>
      <c r="D49" s="22">
        <v>0</v>
      </c>
      <c r="E49" s="22">
        <v>0</v>
      </c>
      <c r="F49" s="22">
        <v>0</v>
      </c>
      <c r="G49" s="22">
        <v>0</v>
      </c>
    </row>
    <row r="50" spans="1:7" ht="25">
      <c r="A50" s="28" t="s">
        <v>279</v>
      </c>
      <c r="B50" s="30" t="s">
        <v>280</v>
      </c>
      <c r="C50" s="21"/>
      <c r="D50" s="22">
        <v>1100000</v>
      </c>
      <c r="E50" s="22">
        <v>1100000</v>
      </c>
      <c r="F50" s="22">
        <v>1100000</v>
      </c>
      <c r="G50" s="22">
        <v>1100000</v>
      </c>
    </row>
    <row r="51" spans="1:7" ht="25">
      <c r="A51" s="28" t="s">
        <v>281</v>
      </c>
      <c r="B51" s="30" t="s">
        <v>282</v>
      </c>
      <c r="C51" s="21"/>
      <c r="D51" s="22">
        <v>0</v>
      </c>
      <c r="E51" s="22">
        <v>0</v>
      </c>
      <c r="F51" s="22">
        <v>0</v>
      </c>
      <c r="G51" s="22">
        <v>0</v>
      </c>
    </row>
    <row r="52" spans="1:7" ht="25">
      <c r="A52" s="28" t="s">
        <v>283</v>
      </c>
      <c r="B52" s="30" t="s">
        <v>284</v>
      </c>
      <c r="C52" s="21"/>
      <c r="D52" s="22">
        <v>0</v>
      </c>
      <c r="E52" s="22">
        <v>0</v>
      </c>
      <c r="F52" s="22">
        <v>0</v>
      </c>
      <c r="G52" s="22">
        <v>0</v>
      </c>
    </row>
    <row r="53" spans="1:7" ht="25">
      <c r="A53" s="28" t="s">
        <v>285</v>
      </c>
      <c r="B53" s="30" t="s">
        <v>286</v>
      </c>
      <c r="C53" s="21"/>
      <c r="D53" s="22">
        <v>0</v>
      </c>
      <c r="E53" s="22">
        <v>0</v>
      </c>
      <c r="F53" s="22">
        <v>0</v>
      </c>
      <c r="G53" s="22">
        <v>0</v>
      </c>
    </row>
    <row r="54" spans="1:7" ht="37.5">
      <c r="A54" s="15" t="s">
        <v>287</v>
      </c>
      <c r="B54" s="16" t="s">
        <v>60</v>
      </c>
      <c r="C54" s="17"/>
      <c r="D54" s="18">
        <v>2244176766</v>
      </c>
      <c r="E54" s="18">
        <v>2244176766</v>
      </c>
      <c r="F54" s="18">
        <v>2663686046</v>
      </c>
      <c r="G54" s="18">
        <v>2663686046</v>
      </c>
    </row>
    <row r="55" spans="1:7" ht="25">
      <c r="A55" s="15" t="s">
        <v>288</v>
      </c>
      <c r="B55" s="16" t="s">
        <v>61</v>
      </c>
      <c r="C55" s="17"/>
      <c r="D55" s="18">
        <v>0</v>
      </c>
      <c r="E55" s="18">
        <v>0</v>
      </c>
      <c r="F55" s="18">
        <v>0</v>
      </c>
      <c r="G55" s="18">
        <v>0</v>
      </c>
    </row>
    <row r="56" spans="1:7" ht="25">
      <c r="A56" s="19" t="s">
        <v>289</v>
      </c>
      <c r="B56" s="24" t="s">
        <v>62</v>
      </c>
      <c r="C56" s="23"/>
      <c r="D56" s="22">
        <v>0</v>
      </c>
      <c r="E56" s="22">
        <v>0</v>
      </c>
      <c r="F56" s="22">
        <v>0</v>
      </c>
      <c r="G56" s="22">
        <v>0</v>
      </c>
    </row>
    <row r="57" spans="1:7" ht="25">
      <c r="A57" s="19" t="s">
        <v>290</v>
      </c>
      <c r="B57" s="24" t="s">
        <v>63</v>
      </c>
      <c r="C57" s="23"/>
      <c r="D57" s="22">
        <v>0</v>
      </c>
      <c r="E57" s="22">
        <v>0</v>
      </c>
      <c r="F57" s="22">
        <v>0</v>
      </c>
      <c r="G57" s="22">
        <v>0</v>
      </c>
    </row>
    <row r="58" spans="1:7" ht="37.5">
      <c r="A58" s="15" t="s">
        <v>291</v>
      </c>
      <c r="B58" s="16" t="s">
        <v>64</v>
      </c>
      <c r="C58" s="17"/>
      <c r="D58" s="18">
        <v>2244176766</v>
      </c>
      <c r="E58" s="18">
        <v>2244176766</v>
      </c>
      <c r="F58" s="18">
        <v>2663686046</v>
      </c>
      <c r="G58" s="18">
        <v>2663686046</v>
      </c>
    </row>
    <row r="59" spans="1:7" ht="25">
      <c r="A59" s="25" t="s">
        <v>292</v>
      </c>
      <c r="B59" s="20" t="s">
        <v>65</v>
      </c>
      <c r="C59" s="23"/>
      <c r="D59" s="22">
        <v>2244176766</v>
      </c>
      <c r="E59" s="22">
        <v>2244176766</v>
      </c>
      <c r="F59" s="22">
        <v>2663686046</v>
      </c>
      <c r="G59" s="22">
        <v>2663686046</v>
      </c>
    </row>
    <row r="60" spans="1:7" ht="25">
      <c r="A60" s="25" t="s">
        <v>293</v>
      </c>
      <c r="B60" s="20" t="s">
        <v>66</v>
      </c>
      <c r="C60" s="23"/>
      <c r="D60" s="22">
        <v>0</v>
      </c>
      <c r="E60" s="22">
        <v>0</v>
      </c>
      <c r="F60" s="22">
        <v>0</v>
      </c>
      <c r="G60" s="22">
        <v>0</v>
      </c>
    </row>
    <row r="61" spans="1:7" ht="25">
      <c r="A61" s="15" t="s">
        <v>294</v>
      </c>
      <c r="B61" s="16" t="s">
        <v>67</v>
      </c>
      <c r="C61" s="17"/>
      <c r="D61" s="18">
        <v>0</v>
      </c>
      <c r="E61" s="18">
        <v>0</v>
      </c>
      <c r="F61" s="18">
        <v>0</v>
      </c>
      <c r="G61" s="18">
        <v>0</v>
      </c>
    </row>
    <row r="62" spans="1:7" ht="37.5">
      <c r="A62" s="15" t="s">
        <v>295</v>
      </c>
      <c r="B62" s="16" t="s">
        <v>68</v>
      </c>
      <c r="C62" s="17"/>
      <c r="D62" s="18">
        <v>2244176766</v>
      </c>
      <c r="E62" s="18">
        <v>2244176766</v>
      </c>
      <c r="F62" s="18">
        <v>2663686046</v>
      </c>
      <c r="G62" s="18">
        <v>2663686046</v>
      </c>
    </row>
  </sheetData>
  <mergeCells count="5">
    <mergeCell ref="A1:A2"/>
    <mergeCell ref="B1:B2"/>
    <mergeCell ref="C1:C2"/>
    <mergeCell ref="D1:E1"/>
    <mergeCell ref="F1:G1"/>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E105"/>
  <sheetViews>
    <sheetView topLeftCell="A67" workbookViewId="0">
      <selection activeCell="D1" sqref="D1:E65536"/>
    </sheetView>
  </sheetViews>
  <sheetFormatPr defaultRowHeight="12.5"/>
  <cols>
    <col min="1" max="1" width="66.453125" customWidth="1"/>
    <col min="2" max="2" width="6.90625" customWidth="1"/>
    <col min="3" max="3" width="21" customWidth="1"/>
    <col min="4" max="5" width="22.6328125" customWidth="1"/>
  </cols>
  <sheetData>
    <row r="1" spans="1:5" ht="37.5">
      <c r="A1" s="31" t="s">
        <v>203</v>
      </c>
      <c r="B1" s="31" t="s">
        <v>204</v>
      </c>
      <c r="C1" s="31" t="s">
        <v>205</v>
      </c>
      <c r="D1" s="31" t="s">
        <v>298</v>
      </c>
      <c r="E1" s="31" t="s">
        <v>299</v>
      </c>
    </row>
    <row r="2" spans="1:5" ht="25">
      <c r="A2" s="32" t="s">
        <v>300</v>
      </c>
      <c r="B2" s="33" t="s">
        <v>69</v>
      </c>
      <c r="C2" s="18"/>
      <c r="D2" s="18"/>
      <c r="E2" s="18"/>
    </row>
    <row r="3" spans="1:5" ht="25">
      <c r="A3" s="34" t="s">
        <v>301</v>
      </c>
      <c r="B3" s="35" t="s">
        <v>70</v>
      </c>
      <c r="C3" s="36"/>
      <c r="D3" s="37">
        <v>1321281100</v>
      </c>
      <c r="E3" s="37">
        <v>2252557622</v>
      </c>
    </row>
    <row r="4" spans="1:5" ht="25">
      <c r="A4" s="34" t="s">
        <v>302</v>
      </c>
      <c r="B4" s="35" t="s">
        <v>71</v>
      </c>
      <c r="C4" s="36"/>
      <c r="D4" s="37">
        <v>1321281100</v>
      </c>
      <c r="E4" s="37">
        <v>2252557622</v>
      </c>
    </row>
    <row r="5" spans="1:5" ht="25">
      <c r="A5" s="38" t="s">
        <v>303</v>
      </c>
      <c r="B5" s="39" t="s">
        <v>304</v>
      </c>
      <c r="C5" s="36"/>
      <c r="D5" s="37">
        <v>0</v>
      </c>
      <c r="E5" s="37">
        <v>0</v>
      </c>
    </row>
    <row r="6" spans="1:5" ht="25">
      <c r="A6" s="38" t="s">
        <v>305</v>
      </c>
      <c r="B6" s="39" t="s">
        <v>306</v>
      </c>
      <c r="C6" s="36"/>
      <c r="D6" s="37">
        <v>0</v>
      </c>
      <c r="E6" s="37">
        <v>0</v>
      </c>
    </row>
    <row r="7" spans="1:5" ht="25">
      <c r="A7" s="38" t="s">
        <v>307</v>
      </c>
      <c r="B7" s="39" t="s">
        <v>308</v>
      </c>
      <c r="C7" s="36"/>
      <c r="D7" s="37">
        <v>1321281100</v>
      </c>
      <c r="E7" s="37">
        <v>2252557622</v>
      </c>
    </row>
    <row r="8" spans="1:5" ht="25">
      <c r="A8" s="38" t="s">
        <v>309</v>
      </c>
      <c r="B8" s="39" t="s">
        <v>310</v>
      </c>
      <c r="C8" s="36"/>
      <c r="D8" s="37">
        <v>0</v>
      </c>
      <c r="E8" s="37">
        <v>0</v>
      </c>
    </row>
    <row r="9" spans="1:5" ht="25">
      <c r="A9" s="34" t="s">
        <v>311</v>
      </c>
      <c r="B9" s="35" t="s">
        <v>72</v>
      </c>
      <c r="C9" s="36"/>
      <c r="D9" s="37">
        <v>0</v>
      </c>
      <c r="E9" s="37">
        <v>0</v>
      </c>
    </row>
    <row r="10" spans="1:5" ht="25">
      <c r="A10" s="34" t="s">
        <v>312</v>
      </c>
      <c r="B10" s="35" t="s">
        <v>73</v>
      </c>
      <c r="C10" s="36"/>
      <c r="D10" s="37">
        <v>105800000000</v>
      </c>
      <c r="E10" s="37">
        <v>102800000000</v>
      </c>
    </row>
    <row r="11" spans="1:5" ht="25">
      <c r="A11" s="34" t="s">
        <v>313</v>
      </c>
      <c r="B11" s="35" t="s">
        <v>74</v>
      </c>
      <c r="C11" s="36"/>
      <c r="D11" s="37">
        <v>105800000000</v>
      </c>
      <c r="E11" s="37">
        <v>102800000000</v>
      </c>
    </row>
    <row r="12" spans="1:5" ht="25">
      <c r="A12" s="38" t="s">
        <v>314</v>
      </c>
      <c r="B12" s="39" t="s">
        <v>315</v>
      </c>
      <c r="C12" s="36"/>
      <c r="D12" s="37">
        <v>0</v>
      </c>
      <c r="E12" s="37">
        <v>0</v>
      </c>
    </row>
    <row r="13" spans="1:5" ht="25">
      <c r="A13" s="38" t="s">
        <v>316</v>
      </c>
      <c r="B13" s="39" t="s">
        <v>317</v>
      </c>
      <c r="C13" s="36"/>
      <c r="D13" s="37">
        <v>0</v>
      </c>
      <c r="E13" s="37">
        <v>0</v>
      </c>
    </row>
    <row r="14" spans="1:5" ht="25">
      <c r="A14" s="38" t="s">
        <v>318</v>
      </c>
      <c r="B14" s="39" t="s">
        <v>319</v>
      </c>
      <c r="C14" s="36"/>
      <c r="D14" s="37">
        <v>0</v>
      </c>
      <c r="E14" s="37">
        <v>0</v>
      </c>
    </row>
    <row r="15" spans="1:5" ht="25">
      <c r="A15" s="38" t="s">
        <v>320</v>
      </c>
      <c r="B15" s="39" t="s">
        <v>321</v>
      </c>
      <c r="C15" s="36"/>
      <c r="D15" s="37">
        <v>0</v>
      </c>
      <c r="E15" s="37">
        <v>0</v>
      </c>
    </row>
    <row r="16" spans="1:5" ht="25">
      <c r="A16" s="38" t="s">
        <v>322</v>
      </c>
      <c r="B16" s="39" t="s">
        <v>323</v>
      </c>
      <c r="C16" s="36"/>
      <c r="D16" s="37">
        <v>15000000000</v>
      </c>
      <c r="E16" s="37">
        <v>10000000000</v>
      </c>
    </row>
    <row r="17" spans="1:5" ht="25">
      <c r="A17" s="38" t="s">
        <v>324</v>
      </c>
      <c r="B17" s="39" t="s">
        <v>325</v>
      </c>
      <c r="C17" s="36"/>
      <c r="D17" s="37">
        <v>90800000000</v>
      </c>
      <c r="E17" s="37">
        <v>92800000000</v>
      </c>
    </row>
    <row r="18" spans="1:5" ht="25">
      <c r="A18" s="38" t="s">
        <v>326</v>
      </c>
      <c r="B18" s="39" t="s">
        <v>327</v>
      </c>
      <c r="C18" s="36"/>
      <c r="D18" s="37">
        <v>0</v>
      </c>
      <c r="E18" s="37">
        <v>0</v>
      </c>
    </row>
    <row r="19" spans="1:5" ht="25">
      <c r="A19" s="38" t="s">
        <v>328</v>
      </c>
      <c r="B19" s="39" t="s">
        <v>329</v>
      </c>
      <c r="C19" s="36"/>
      <c r="D19" s="37">
        <v>0</v>
      </c>
      <c r="E19" s="37">
        <v>0</v>
      </c>
    </row>
    <row r="20" spans="1:5" ht="25">
      <c r="A20" s="38" t="s">
        <v>330</v>
      </c>
      <c r="B20" s="39" t="s">
        <v>331</v>
      </c>
      <c r="C20" s="36"/>
      <c r="D20" s="37">
        <v>0</v>
      </c>
      <c r="E20" s="37">
        <v>0</v>
      </c>
    </row>
    <row r="21" spans="1:5" ht="25">
      <c r="A21" s="38" t="s">
        <v>332</v>
      </c>
      <c r="B21" s="39" t="s">
        <v>333</v>
      </c>
      <c r="C21" s="36"/>
      <c r="D21" s="37">
        <v>0</v>
      </c>
      <c r="E21" s="37">
        <v>0</v>
      </c>
    </row>
    <row r="22" spans="1:5" ht="25">
      <c r="A22" s="34" t="s">
        <v>334</v>
      </c>
      <c r="B22" s="35" t="s">
        <v>75</v>
      </c>
      <c r="C22" s="36"/>
      <c r="D22" s="37">
        <v>0</v>
      </c>
      <c r="E22" s="37">
        <v>0</v>
      </c>
    </row>
    <row r="23" spans="1:5" ht="25">
      <c r="A23" s="34" t="s">
        <v>335</v>
      </c>
      <c r="B23" s="35" t="s">
        <v>76</v>
      </c>
      <c r="C23" s="36"/>
      <c r="D23" s="37">
        <v>3467764384</v>
      </c>
      <c r="E23" s="37">
        <v>3570166576</v>
      </c>
    </row>
    <row r="24" spans="1:5" ht="25">
      <c r="A24" s="34" t="s">
        <v>336</v>
      </c>
      <c r="B24" s="35" t="s">
        <v>77</v>
      </c>
      <c r="C24" s="36"/>
      <c r="D24" s="37">
        <v>0</v>
      </c>
      <c r="E24" s="37">
        <v>0</v>
      </c>
    </row>
    <row r="25" spans="1:5" ht="25">
      <c r="A25" s="38" t="s">
        <v>337</v>
      </c>
      <c r="B25" s="39" t="s">
        <v>78</v>
      </c>
      <c r="C25" s="36"/>
      <c r="D25" s="37">
        <v>0</v>
      </c>
      <c r="E25" s="37">
        <v>0</v>
      </c>
    </row>
    <row r="26" spans="1:5" ht="25">
      <c r="A26" s="34" t="s">
        <v>338</v>
      </c>
      <c r="B26" s="35" t="s">
        <v>79</v>
      </c>
      <c r="C26" s="36"/>
      <c r="D26" s="37">
        <v>3467764384</v>
      </c>
      <c r="E26" s="37">
        <v>3570166576</v>
      </c>
    </row>
    <row r="27" spans="1:5" ht="25">
      <c r="A27" s="34" t="s">
        <v>339</v>
      </c>
      <c r="B27" s="35" t="s">
        <v>80</v>
      </c>
      <c r="C27" s="36"/>
      <c r="D27" s="37">
        <v>0</v>
      </c>
      <c r="E27" s="37">
        <v>0</v>
      </c>
    </row>
    <row r="28" spans="1:5" ht="25">
      <c r="A28" s="38" t="s">
        <v>340</v>
      </c>
      <c r="B28" s="39" t="s">
        <v>341</v>
      </c>
      <c r="C28" s="36"/>
      <c r="D28" s="37">
        <v>0</v>
      </c>
      <c r="E28" s="37">
        <v>0</v>
      </c>
    </row>
    <row r="29" spans="1:5" ht="25">
      <c r="A29" s="38" t="s">
        <v>342</v>
      </c>
      <c r="B29" s="39" t="s">
        <v>343</v>
      </c>
      <c r="C29" s="36"/>
      <c r="D29" s="37">
        <v>0</v>
      </c>
      <c r="E29" s="37">
        <v>0</v>
      </c>
    </row>
    <row r="30" spans="1:5" ht="25">
      <c r="A30" s="38" t="s">
        <v>344</v>
      </c>
      <c r="B30" s="39" t="s">
        <v>345</v>
      </c>
      <c r="C30" s="36"/>
      <c r="D30" s="37">
        <v>0</v>
      </c>
      <c r="E30" s="37">
        <v>0</v>
      </c>
    </row>
    <row r="31" spans="1:5" ht="25">
      <c r="A31" s="38" t="s">
        <v>346</v>
      </c>
      <c r="B31" s="39" t="s">
        <v>347</v>
      </c>
      <c r="C31" s="36"/>
      <c r="D31" s="37">
        <v>0</v>
      </c>
      <c r="E31" s="37">
        <v>0</v>
      </c>
    </row>
    <row r="32" spans="1:5" ht="25">
      <c r="A32" s="38" t="s">
        <v>348</v>
      </c>
      <c r="B32" s="39" t="s">
        <v>349</v>
      </c>
      <c r="C32" s="36"/>
      <c r="D32" s="37">
        <v>0</v>
      </c>
      <c r="E32" s="37">
        <v>0</v>
      </c>
    </row>
    <row r="33" spans="1:5" ht="37.5">
      <c r="A33" s="34" t="s">
        <v>350</v>
      </c>
      <c r="B33" s="35" t="s">
        <v>81</v>
      </c>
      <c r="C33" s="36"/>
      <c r="D33" s="37">
        <v>0</v>
      </c>
      <c r="E33" s="37">
        <v>0</v>
      </c>
    </row>
    <row r="34" spans="1:5" ht="25">
      <c r="A34" s="34" t="s">
        <v>351</v>
      </c>
      <c r="B34" s="35" t="s">
        <v>82</v>
      </c>
      <c r="C34" s="36"/>
      <c r="D34" s="37">
        <v>3467764384</v>
      </c>
      <c r="E34" s="37">
        <v>3570166576</v>
      </c>
    </row>
    <row r="35" spans="1:5" ht="25">
      <c r="A35" s="38" t="s">
        <v>352</v>
      </c>
      <c r="B35" s="39" t="s">
        <v>353</v>
      </c>
      <c r="C35" s="36"/>
      <c r="D35" s="37">
        <v>0</v>
      </c>
      <c r="E35" s="37">
        <v>0</v>
      </c>
    </row>
    <row r="36" spans="1:5" ht="25">
      <c r="A36" s="38" t="s">
        <v>354</v>
      </c>
      <c r="B36" s="39" t="s">
        <v>355</v>
      </c>
      <c r="C36" s="36"/>
      <c r="D36" s="37">
        <v>0</v>
      </c>
      <c r="E36" s="37">
        <v>0</v>
      </c>
    </row>
    <row r="37" spans="1:5" ht="25">
      <c r="A37" s="38" t="s">
        <v>356</v>
      </c>
      <c r="B37" s="39" t="s">
        <v>357</v>
      </c>
      <c r="C37" s="36"/>
      <c r="D37" s="37">
        <v>0</v>
      </c>
      <c r="E37" s="37">
        <v>0</v>
      </c>
    </row>
    <row r="38" spans="1:5" ht="25">
      <c r="A38" s="38" t="s">
        <v>358</v>
      </c>
      <c r="B38" s="39" t="s">
        <v>359</v>
      </c>
      <c r="C38" s="36"/>
      <c r="D38" s="37">
        <v>3174832877</v>
      </c>
      <c r="E38" s="37">
        <v>2982084384</v>
      </c>
    </row>
    <row r="39" spans="1:5" ht="25">
      <c r="A39" s="38" t="s">
        <v>360</v>
      </c>
      <c r="B39" s="39" t="s">
        <v>361</v>
      </c>
      <c r="C39" s="36"/>
      <c r="D39" s="37">
        <v>292931507</v>
      </c>
      <c r="E39" s="37">
        <v>588082192</v>
      </c>
    </row>
    <row r="40" spans="1:5" ht="25">
      <c r="A40" s="38" t="s">
        <v>362</v>
      </c>
      <c r="B40" s="39" t="s">
        <v>363</v>
      </c>
      <c r="C40" s="36"/>
      <c r="D40" s="37">
        <v>0</v>
      </c>
      <c r="E40" s="37">
        <v>0</v>
      </c>
    </row>
    <row r="41" spans="1:5" ht="25">
      <c r="A41" s="34" t="s">
        <v>364</v>
      </c>
      <c r="B41" s="35" t="s">
        <v>83</v>
      </c>
      <c r="C41" s="36"/>
      <c r="D41" s="37">
        <v>0</v>
      </c>
      <c r="E41" s="37">
        <v>0</v>
      </c>
    </row>
    <row r="42" spans="1:5" ht="25">
      <c r="A42" s="38" t="s">
        <v>365</v>
      </c>
      <c r="B42" s="39" t="s">
        <v>366</v>
      </c>
      <c r="C42" s="36"/>
      <c r="D42" s="37">
        <v>0</v>
      </c>
      <c r="E42" s="37">
        <v>0</v>
      </c>
    </row>
    <row r="43" spans="1:5" ht="25">
      <c r="A43" s="38" t="s">
        <v>367</v>
      </c>
      <c r="B43" s="39" t="s">
        <v>368</v>
      </c>
      <c r="C43" s="36"/>
      <c r="D43" s="37">
        <v>0</v>
      </c>
      <c r="E43" s="37">
        <v>0</v>
      </c>
    </row>
    <row r="44" spans="1:5" ht="25">
      <c r="A44" s="38" t="s">
        <v>369</v>
      </c>
      <c r="B44" s="39" t="s">
        <v>370</v>
      </c>
      <c r="C44" s="36"/>
      <c r="D44" s="37">
        <v>0</v>
      </c>
      <c r="E44" s="37">
        <v>0</v>
      </c>
    </row>
    <row r="45" spans="1:5" ht="25">
      <c r="A45" s="34" t="s">
        <v>371</v>
      </c>
      <c r="B45" s="35" t="s">
        <v>84</v>
      </c>
      <c r="C45" s="36"/>
      <c r="D45" s="37">
        <v>0</v>
      </c>
      <c r="E45" s="37">
        <v>0</v>
      </c>
    </row>
    <row r="46" spans="1:5" ht="25">
      <c r="A46" s="32" t="s">
        <v>372</v>
      </c>
      <c r="B46" s="33" t="s">
        <v>85</v>
      </c>
      <c r="C46" s="18"/>
      <c r="D46" s="18">
        <v>110589045484</v>
      </c>
      <c r="E46" s="18">
        <v>108622724198</v>
      </c>
    </row>
    <row r="47" spans="1:5" ht="25">
      <c r="A47" s="32" t="s">
        <v>373</v>
      </c>
      <c r="B47" s="33" t="s">
        <v>86</v>
      </c>
      <c r="C47" s="18"/>
      <c r="D47" s="18"/>
      <c r="E47" s="18"/>
    </row>
    <row r="48" spans="1:5" ht="25">
      <c r="A48" s="34" t="s">
        <v>374</v>
      </c>
      <c r="B48" s="35" t="s">
        <v>87</v>
      </c>
      <c r="C48" s="36"/>
      <c r="D48" s="37">
        <v>0</v>
      </c>
      <c r="E48" s="37">
        <v>0</v>
      </c>
    </row>
    <row r="49" spans="1:5" ht="25">
      <c r="A49" s="38" t="s">
        <v>375</v>
      </c>
      <c r="B49" s="39" t="s">
        <v>376</v>
      </c>
      <c r="C49" s="36"/>
      <c r="D49" s="37">
        <v>0</v>
      </c>
      <c r="E49" s="37">
        <v>0</v>
      </c>
    </row>
    <row r="50" spans="1:5" ht="25">
      <c r="A50" s="38" t="s">
        <v>377</v>
      </c>
      <c r="B50" s="39" t="s">
        <v>378</v>
      </c>
      <c r="C50" s="36"/>
      <c r="D50" s="37">
        <v>0</v>
      </c>
      <c r="E50" s="37">
        <v>0</v>
      </c>
    </row>
    <row r="51" spans="1:5" ht="25">
      <c r="A51" s="34" t="s">
        <v>379</v>
      </c>
      <c r="B51" s="35" t="s">
        <v>88</v>
      </c>
      <c r="C51" s="36"/>
      <c r="D51" s="37">
        <v>0</v>
      </c>
      <c r="E51" s="37">
        <v>0</v>
      </c>
    </row>
    <row r="52" spans="1:5" ht="50">
      <c r="A52" s="34" t="s">
        <v>380</v>
      </c>
      <c r="B52" s="35" t="s">
        <v>89</v>
      </c>
      <c r="C52" s="36"/>
      <c r="D52" s="37">
        <v>0</v>
      </c>
      <c r="E52" s="37">
        <v>0</v>
      </c>
    </row>
    <row r="53" spans="1:5" ht="25">
      <c r="A53" s="38" t="s">
        <v>381</v>
      </c>
      <c r="B53" s="39" t="s">
        <v>382</v>
      </c>
      <c r="C53" s="36"/>
      <c r="D53" s="37">
        <v>0</v>
      </c>
      <c r="E53" s="37">
        <v>0</v>
      </c>
    </row>
    <row r="54" spans="1:5" ht="25">
      <c r="A54" s="38" t="s">
        <v>383</v>
      </c>
      <c r="B54" s="39" t="s">
        <v>384</v>
      </c>
      <c r="C54" s="36"/>
      <c r="D54" s="37">
        <v>0</v>
      </c>
      <c r="E54" s="37">
        <v>0</v>
      </c>
    </row>
    <row r="55" spans="1:5" ht="25">
      <c r="A55" s="34" t="s">
        <v>385</v>
      </c>
      <c r="B55" s="35" t="s">
        <v>90</v>
      </c>
      <c r="C55" s="36"/>
      <c r="D55" s="37">
        <v>1099</v>
      </c>
      <c r="E55" s="37">
        <v>0</v>
      </c>
    </row>
    <row r="56" spans="1:5" ht="25">
      <c r="A56" s="34" t="s">
        <v>386</v>
      </c>
      <c r="B56" s="35" t="s">
        <v>91</v>
      </c>
      <c r="C56" s="36"/>
      <c r="D56" s="37">
        <v>0</v>
      </c>
      <c r="E56" s="37">
        <v>0</v>
      </c>
    </row>
    <row r="57" spans="1:5" ht="25">
      <c r="A57" s="34" t="s">
        <v>387</v>
      </c>
      <c r="B57" s="35" t="s">
        <v>92</v>
      </c>
      <c r="C57" s="36"/>
      <c r="D57" s="37">
        <v>121367123</v>
      </c>
      <c r="E57" s="37">
        <v>81500000</v>
      </c>
    </row>
    <row r="58" spans="1:5" ht="25">
      <c r="A58" s="38" t="s">
        <v>388</v>
      </c>
      <c r="B58" s="39" t="s">
        <v>389</v>
      </c>
      <c r="C58" s="36"/>
      <c r="D58" s="37">
        <v>0</v>
      </c>
      <c r="E58" s="37">
        <v>0</v>
      </c>
    </row>
    <row r="59" spans="1:5" ht="25">
      <c r="A59" s="38" t="s">
        <v>390</v>
      </c>
      <c r="B59" s="39" t="s">
        <v>391</v>
      </c>
      <c r="C59" s="36"/>
      <c r="D59" s="37">
        <v>0</v>
      </c>
      <c r="E59" s="37">
        <v>0</v>
      </c>
    </row>
    <row r="60" spans="1:5" ht="25">
      <c r="A60" s="38" t="s">
        <v>392</v>
      </c>
      <c r="B60" s="39" t="s">
        <v>393</v>
      </c>
      <c r="C60" s="36"/>
      <c r="D60" s="37">
        <v>0</v>
      </c>
      <c r="E60" s="37">
        <v>0</v>
      </c>
    </row>
    <row r="61" spans="1:5" ht="25">
      <c r="A61" s="38" t="s">
        <v>394</v>
      </c>
      <c r="B61" s="39" t="s">
        <v>395</v>
      </c>
      <c r="C61" s="36"/>
      <c r="D61" s="37">
        <v>76367123</v>
      </c>
      <c r="E61" s="37">
        <v>77000000</v>
      </c>
    </row>
    <row r="62" spans="1:5" ht="25">
      <c r="A62" s="38" t="s">
        <v>396</v>
      </c>
      <c r="B62" s="39" t="s">
        <v>397</v>
      </c>
      <c r="C62" s="36"/>
      <c r="D62" s="37">
        <v>0</v>
      </c>
      <c r="E62" s="37">
        <v>0</v>
      </c>
    </row>
    <row r="63" spans="1:5" ht="25">
      <c r="A63" s="38" t="s">
        <v>398</v>
      </c>
      <c r="B63" s="39" t="s">
        <v>399</v>
      </c>
      <c r="C63" s="36"/>
      <c r="D63" s="37">
        <v>0</v>
      </c>
      <c r="E63" s="37">
        <v>0</v>
      </c>
    </row>
    <row r="64" spans="1:5" ht="25">
      <c r="A64" s="38" t="s">
        <v>400</v>
      </c>
      <c r="B64" s="39" t="s">
        <v>401</v>
      </c>
      <c r="C64" s="36"/>
      <c r="D64" s="37">
        <v>45000000</v>
      </c>
      <c r="E64" s="37">
        <v>4500000</v>
      </c>
    </row>
    <row r="65" spans="1:5" ht="25">
      <c r="A65" s="38" t="s">
        <v>402</v>
      </c>
      <c r="B65" s="39" t="s">
        <v>403</v>
      </c>
      <c r="C65" s="36"/>
      <c r="D65" s="37">
        <v>0</v>
      </c>
      <c r="E65" s="37">
        <v>0</v>
      </c>
    </row>
    <row r="66" spans="1:5" ht="25">
      <c r="A66" s="38" t="s">
        <v>404</v>
      </c>
      <c r="B66" s="39" t="s">
        <v>405</v>
      </c>
      <c r="C66" s="36"/>
      <c r="D66" s="37">
        <v>0</v>
      </c>
      <c r="E66" s="37">
        <v>0</v>
      </c>
    </row>
    <row r="67" spans="1:5" ht="25">
      <c r="A67" s="34" t="s">
        <v>406</v>
      </c>
      <c r="B67" s="35" t="s">
        <v>93</v>
      </c>
      <c r="C67" s="36"/>
      <c r="D67" s="37">
        <v>0</v>
      </c>
      <c r="E67" s="37">
        <v>0</v>
      </c>
    </row>
    <row r="68" spans="1:5" ht="25">
      <c r="A68" s="38" t="s">
        <v>407</v>
      </c>
      <c r="B68" s="39" t="s">
        <v>408</v>
      </c>
      <c r="C68" s="36"/>
      <c r="D68" s="37">
        <v>0</v>
      </c>
      <c r="E68" s="37">
        <v>0</v>
      </c>
    </row>
    <row r="69" spans="1:5" ht="25">
      <c r="A69" s="38" t="s">
        <v>409</v>
      </c>
      <c r="B69" s="39" t="s">
        <v>410</v>
      </c>
      <c r="C69" s="36"/>
      <c r="D69" s="37">
        <v>0</v>
      </c>
      <c r="E69" s="37">
        <v>0</v>
      </c>
    </row>
    <row r="70" spans="1:5" ht="25">
      <c r="A70" s="34" t="s">
        <v>411</v>
      </c>
      <c r="B70" s="35" t="s">
        <v>94</v>
      </c>
      <c r="C70" s="36"/>
      <c r="D70" s="37">
        <v>0</v>
      </c>
      <c r="E70" s="37">
        <v>0</v>
      </c>
    </row>
    <row r="71" spans="1:5" ht="25">
      <c r="A71" s="34" t="s">
        <v>412</v>
      </c>
      <c r="B71" s="35" t="s">
        <v>95</v>
      </c>
      <c r="C71" s="36"/>
      <c r="D71" s="37">
        <v>157232597</v>
      </c>
      <c r="E71" s="37">
        <v>158226620</v>
      </c>
    </row>
    <row r="72" spans="1:5" ht="25">
      <c r="A72" s="38" t="s">
        <v>413</v>
      </c>
      <c r="B72" s="39" t="s">
        <v>414</v>
      </c>
      <c r="C72" s="36"/>
      <c r="D72" s="37">
        <v>81520097</v>
      </c>
      <c r="E72" s="37">
        <v>82514120</v>
      </c>
    </row>
    <row r="73" spans="1:5" ht="25">
      <c r="A73" s="38" t="s">
        <v>415</v>
      </c>
      <c r="B73" s="39" t="s">
        <v>416</v>
      </c>
      <c r="C73" s="36"/>
      <c r="D73" s="37">
        <v>11500000</v>
      </c>
      <c r="E73" s="37">
        <v>11500000</v>
      </c>
    </row>
    <row r="74" spans="1:5" ht="25">
      <c r="A74" s="38" t="s">
        <v>241</v>
      </c>
      <c r="B74" s="39" t="s">
        <v>417</v>
      </c>
      <c r="C74" s="36"/>
      <c r="D74" s="37">
        <v>11500000</v>
      </c>
      <c r="E74" s="37">
        <v>11500000</v>
      </c>
    </row>
    <row r="75" spans="1:5" ht="25">
      <c r="A75" s="38" t="s">
        <v>418</v>
      </c>
      <c r="B75" s="39" t="s">
        <v>419</v>
      </c>
      <c r="C75" s="36"/>
      <c r="D75" s="37">
        <v>0</v>
      </c>
      <c r="E75" s="37">
        <v>0</v>
      </c>
    </row>
    <row r="76" spans="1:5" ht="50">
      <c r="A76" s="38" t="s">
        <v>245</v>
      </c>
      <c r="B76" s="39" t="s">
        <v>420</v>
      </c>
      <c r="C76" s="36"/>
      <c r="D76" s="37">
        <v>0</v>
      </c>
      <c r="E76" s="37">
        <v>0</v>
      </c>
    </row>
    <row r="77" spans="1:5" ht="25">
      <c r="A77" s="38" t="s">
        <v>421</v>
      </c>
      <c r="B77" s="39" t="s">
        <v>422</v>
      </c>
      <c r="C77" s="36"/>
      <c r="D77" s="37">
        <v>35612500</v>
      </c>
      <c r="E77" s="37">
        <v>35612500</v>
      </c>
    </row>
    <row r="78" spans="1:5" ht="25">
      <c r="A78" s="38" t="s">
        <v>423</v>
      </c>
      <c r="B78" s="39" t="s">
        <v>424</v>
      </c>
      <c r="C78" s="36"/>
      <c r="D78" s="37">
        <v>17600000</v>
      </c>
      <c r="E78" s="37">
        <v>17600000</v>
      </c>
    </row>
    <row r="79" spans="1:5" ht="25">
      <c r="A79" s="38" t="s">
        <v>425</v>
      </c>
      <c r="B79" s="39" t="s">
        <v>426</v>
      </c>
      <c r="C79" s="36"/>
      <c r="D79" s="37">
        <v>11000000</v>
      </c>
      <c r="E79" s="37">
        <v>11000000</v>
      </c>
    </row>
    <row r="80" spans="1:5" ht="37.5">
      <c r="A80" s="38" t="s">
        <v>427</v>
      </c>
      <c r="B80" s="39" t="s">
        <v>428</v>
      </c>
      <c r="C80" s="36"/>
      <c r="D80" s="37">
        <v>0</v>
      </c>
      <c r="E80" s="37">
        <v>0</v>
      </c>
    </row>
    <row r="81" spans="1:5" ht="25">
      <c r="A81" s="38" t="s">
        <v>429</v>
      </c>
      <c r="B81" s="39" t="s">
        <v>430</v>
      </c>
      <c r="C81" s="36"/>
      <c r="D81" s="37">
        <v>0</v>
      </c>
      <c r="E81" s="37">
        <v>0</v>
      </c>
    </row>
    <row r="82" spans="1:5" ht="25">
      <c r="A82" s="34" t="s">
        <v>431</v>
      </c>
      <c r="B82" s="35" t="s">
        <v>96</v>
      </c>
      <c r="C82" s="36"/>
      <c r="D82" s="37">
        <v>4958904</v>
      </c>
      <c r="E82" s="37">
        <v>0</v>
      </c>
    </row>
    <row r="83" spans="1:5" ht="25">
      <c r="A83" s="38" t="s">
        <v>432</v>
      </c>
      <c r="B83" s="39" t="s">
        <v>433</v>
      </c>
      <c r="C83" s="36"/>
      <c r="D83" s="37">
        <v>0</v>
      </c>
      <c r="E83" s="37">
        <v>0</v>
      </c>
    </row>
    <row r="84" spans="1:5" ht="25">
      <c r="A84" s="38" t="s">
        <v>434</v>
      </c>
      <c r="B84" s="39" t="s">
        <v>435</v>
      </c>
      <c r="C84" s="36"/>
      <c r="D84" s="37">
        <v>0</v>
      </c>
      <c r="E84" s="37">
        <v>0</v>
      </c>
    </row>
    <row r="85" spans="1:5" ht="25">
      <c r="A85" s="38" t="s">
        <v>436</v>
      </c>
      <c r="B85" s="39" t="s">
        <v>437</v>
      </c>
      <c r="C85" s="36"/>
      <c r="D85" s="37">
        <v>4958904</v>
      </c>
      <c r="E85" s="37">
        <v>0</v>
      </c>
    </row>
    <row r="86" spans="1:5" ht="25">
      <c r="A86" s="38" t="s">
        <v>438</v>
      </c>
      <c r="B86" s="39" t="s">
        <v>439</v>
      </c>
      <c r="C86" s="36"/>
      <c r="D86" s="37">
        <v>0</v>
      </c>
      <c r="E86" s="37">
        <v>0</v>
      </c>
    </row>
    <row r="87" spans="1:5" ht="25">
      <c r="A87" s="38" t="s">
        <v>440</v>
      </c>
      <c r="B87" s="39" t="s">
        <v>441</v>
      </c>
      <c r="C87" s="36"/>
      <c r="D87" s="37">
        <v>0</v>
      </c>
      <c r="E87" s="37">
        <v>0</v>
      </c>
    </row>
    <row r="88" spans="1:5" ht="25">
      <c r="A88" s="32" t="s">
        <v>442</v>
      </c>
      <c r="B88" s="33" t="s">
        <v>97</v>
      </c>
      <c r="C88" s="18"/>
      <c r="D88" s="18">
        <v>283559723</v>
      </c>
      <c r="E88" s="18">
        <v>239726620</v>
      </c>
    </row>
    <row r="89" spans="1:5" ht="37.5">
      <c r="A89" s="32" t="s">
        <v>443</v>
      </c>
      <c r="B89" s="33" t="s">
        <v>98</v>
      </c>
      <c r="C89" s="18"/>
      <c r="D89" s="18">
        <v>110305485761</v>
      </c>
      <c r="E89" s="18">
        <v>108382997578</v>
      </c>
    </row>
    <row r="90" spans="1:5" ht="25">
      <c r="A90" s="34" t="s">
        <v>444</v>
      </c>
      <c r="B90" s="35" t="s">
        <v>99</v>
      </c>
      <c r="C90" s="36"/>
      <c r="D90" s="37">
        <v>100068272100</v>
      </c>
      <c r="E90" s="37">
        <v>100362218400</v>
      </c>
    </row>
    <row r="91" spans="1:5" ht="25">
      <c r="A91" s="34" t="s">
        <v>445</v>
      </c>
      <c r="B91" s="35" t="s">
        <v>100</v>
      </c>
      <c r="C91" s="36"/>
      <c r="D91" s="37">
        <v>100871178000</v>
      </c>
      <c r="E91" s="37">
        <v>100853494400</v>
      </c>
    </row>
    <row r="92" spans="1:5" ht="25">
      <c r="A92" s="34" t="s">
        <v>446</v>
      </c>
      <c r="B92" s="35" t="s">
        <v>101</v>
      </c>
      <c r="C92" s="36"/>
      <c r="D92" s="37">
        <v>-802905900</v>
      </c>
      <c r="E92" s="37">
        <v>-491276000</v>
      </c>
    </row>
    <row r="93" spans="1:5" ht="25">
      <c r="A93" s="34" t="s">
        <v>447</v>
      </c>
      <c r="B93" s="35" t="s">
        <v>102</v>
      </c>
      <c r="C93" s="36"/>
      <c r="D93" s="37">
        <v>161922100</v>
      </c>
      <c r="E93" s="37">
        <v>189664383</v>
      </c>
    </row>
    <row r="94" spans="1:5" ht="25">
      <c r="A94" s="34" t="s">
        <v>448</v>
      </c>
      <c r="B94" s="35" t="s">
        <v>103</v>
      </c>
      <c r="C94" s="36"/>
      <c r="D94" s="37">
        <v>10075291561</v>
      </c>
      <c r="E94" s="37">
        <v>7831114795</v>
      </c>
    </row>
    <row r="95" spans="1:5" ht="25">
      <c r="A95" s="34" t="s">
        <v>449</v>
      </c>
      <c r="B95" s="35" t="s">
        <v>450</v>
      </c>
      <c r="C95" s="36"/>
      <c r="D95" s="37">
        <v>7831114795</v>
      </c>
      <c r="E95" s="37">
        <v>2555900941</v>
      </c>
    </row>
    <row r="96" spans="1:5" ht="25">
      <c r="A96" s="34" t="s">
        <v>451</v>
      </c>
      <c r="B96" s="35" t="s">
        <v>452</v>
      </c>
      <c r="C96" s="36"/>
      <c r="D96" s="37">
        <v>2244176766</v>
      </c>
      <c r="E96" s="37">
        <v>5275213854</v>
      </c>
    </row>
    <row r="97" spans="1:5" ht="37.5">
      <c r="A97" s="32" t="s">
        <v>453</v>
      </c>
      <c r="B97" s="33" t="s">
        <v>104</v>
      </c>
      <c r="C97" s="18"/>
      <c r="D97" s="40">
        <v>11023.02</v>
      </c>
      <c r="E97" s="40">
        <v>10799.18</v>
      </c>
    </row>
    <row r="98" spans="1:5" ht="25">
      <c r="A98" s="32" t="s">
        <v>454</v>
      </c>
      <c r="B98" s="33" t="s">
        <v>105</v>
      </c>
      <c r="C98" s="18"/>
      <c r="D98" s="18">
        <v>0</v>
      </c>
      <c r="E98" s="18">
        <v>0</v>
      </c>
    </row>
    <row r="99" spans="1:5" ht="25">
      <c r="A99" s="34" t="s">
        <v>455</v>
      </c>
      <c r="B99" s="35" t="s">
        <v>106</v>
      </c>
      <c r="C99" s="36"/>
      <c r="D99" s="37">
        <v>0</v>
      </c>
      <c r="E99" s="37">
        <v>0</v>
      </c>
    </row>
    <row r="100" spans="1:5" ht="37.5">
      <c r="A100" s="34" t="s">
        <v>456</v>
      </c>
      <c r="B100" s="35" t="s">
        <v>107</v>
      </c>
      <c r="C100" s="36"/>
      <c r="D100" s="37">
        <v>0</v>
      </c>
      <c r="E100" s="37">
        <v>0</v>
      </c>
    </row>
    <row r="101" spans="1:5" ht="25">
      <c r="A101" s="32" t="s">
        <v>457</v>
      </c>
      <c r="B101" s="33" t="s">
        <v>108</v>
      </c>
      <c r="C101" s="18"/>
      <c r="D101" s="18"/>
      <c r="E101" s="18"/>
    </row>
    <row r="102" spans="1:5" ht="25">
      <c r="A102" s="34" t="s">
        <v>458</v>
      </c>
      <c r="B102" s="35" t="s">
        <v>109</v>
      </c>
      <c r="C102" s="36"/>
      <c r="D102" s="37">
        <v>0</v>
      </c>
      <c r="E102" s="37">
        <v>0</v>
      </c>
    </row>
    <row r="103" spans="1:5" ht="25">
      <c r="A103" s="34" t="s">
        <v>459</v>
      </c>
      <c r="B103" s="35" t="s">
        <v>110</v>
      </c>
      <c r="C103" s="36"/>
      <c r="D103" s="37">
        <v>0</v>
      </c>
      <c r="E103" s="37">
        <v>0</v>
      </c>
    </row>
    <row r="104" spans="1:5" ht="25">
      <c r="A104" s="34" t="s">
        <v>460</v>
      </c>
      <c r="B104" s="35" t="s">
        <v>111</v>
      </c>
      <c r="C104" s="36"/>
      <c r="D104" s="37">
        <v>0</v>
      </c>
      <c r="E104" s="37">
        <v>0</v>
      </c>
    </row>
    <row r="105" spans="1:5" ht="25">
      <c r="A105" s="41" t="s">
        <v>461</v>
      </c>
      <c r="B105" s="35" t="s">
        <v>112</v>
      </c>
      <c r="C105" s="42"/>
      <c r="D105" s="43">
        <v>10006827.210000001</v>
      </c>
      <c r="E105" s="43">
        <v>10036221.84</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E32"/>
  <sheetViews>
    <sheetView workbookViewId="0"/>
  </sheetViews>
  <sheetFormatPr defaultRowHeight="12.5"/>
  <cols>
    <col min="1" max="1" width="84.81640625" customWidth="1"/>
    <col min="2" max="2" width="6.90625" customWidth="1"/>
    <col min="3" max="3" width="20.90625" customWidth="1"/>
    <col min="4" max="4" width="18.54296875" customWidth="1"/>
    <col min="5" max="5" width="18.90625" customWidth="1"/>
  </cols>
  <sheetData>
    <row r="1" spans="1:5" ht="15" customHeight="1">
      <c r="A1" s="9" t="s">
        <v>29</v>
      </c>
      <c r="B1" s="9" t="s">
        <v>30</v>
      </c>
      <c r="C1" s="9" t="s">
        <v>31</v>
      </c>
      <c r="D1" s="9" t="s">
        <v>32</v>
      </c>
      <c r="E1" s="9" t="s">
        <v>33</v>
      </c>
    </row>
    <row r="2" spans="1:5" ht="15" customHeight="1">
      <c r="A2" s="10" t="s">
        <v>113</v>
      </c>
      <c r="B2" s="5" t="s">
        <v>69</v>
      </c>
      <c r="C2" s="5" t="s">
        <v>0</v>
      </c>
      <c r="D2" s="5" t="s">
        <v>0</v>
      </c>
      <c r="E2" s="5" t="s">
        <v>0</v>
      </c>
    </row>
    <row r="3" spans="1:5" ht="15" customHeight="1">
      <c r="A3" s="5" t="s">
        <v>114</v>
      </c>
      <c r="B3" s="5" t="s">
        <v>34</v>
      </c>
      <c r="C3" s="5" t="s">
        <v>0</v>
      </c>
      <c r="D3" s="5" t="s">
        <v>0</v>
      </c>
      <c r="E3" s="5" t="s">
        <v>0</v>
      </c>
    </row>
    <row r="4" spans="1:5" ht="15" customHeight="1">
      <c r="A4" s="5" t="s">
        <v>115</v>
      </c>
      <c r="B4" s="5" t="s">
        <v>35</v>
      </c>
      <c r="C4" s="5" t="s">
        <v>0</v>
      </c>
      <c r="D4" s="5" t="s">
        <v>0</v>
      </c>
      <c r="E4" s="5" t="s">
        <v>0</v>
      </c>
    </row>
    <row r="5" spans="1:5" ht="15" customHeight="1">
      <c r="A5" s="5" t="s">
        <v>116</v>
      </c>
      <c r="B5" s="5" t="s">
        <v>36</v>
      </c>
      <c r="C5" s="5" t="s">
        <v>0</v>
      </c>
      <c r="D5" s="5" t="s">
        <v>0</v>
      </c>
      <c r="E5" s="5" t="s">
        <v>0</v>
      </c>
    </row>
    <row r="6" spans="1:5" ht="15" customHeight="1">
      <c r="A6" s="5" t="s">
        <v>117</v>
      </c>
      <c r="B6" s="5" t="s">
        <v>37</v>
      </c>
      <c r="C6" s="5" t="s">
        <v>0</v>
      </c>
      <c r="D6" s="5" t="s">
        <v>0</v>
      </c>
      <c r="E6" s="5" t="s">
        <v>0</v>
      </c>
    </row>
    <row r="7" spans="1:5" ht="15" customHeight="1">
      <c r="A7" s="5" t="s">
        <v>118</v>
      </c>
      <c r="B7" s="5" t="s">
        <v>38</v>
      </c>
      <c r="C7" s="5" t="s">
        <v>0</v>
      </c>
      <c r="D7" s="5" t="s">
        <v>0</v>
      </c>
      <c r="E7" s="5" t="s">
        <v>0</v>
      </c>
    </row>
    <row r="8" spans="1:5" ht="15" customHeight="1">
      <c r="A8" s="5" t="s">
        <v>119</v>
      </c>
      <c r="B8" s="5" t="s">
        <v>39</v>
      </c>
      <c r="C8" s="5" t="s">
        <v>0</v>
      </c>
      <c r="D8" s="5" t="s">
        <v>0</v>
      </c>
      <c r="E8" s="5" t="s">
        <v>0</v>
      </c>
    </row>
    <row r="9" spans="1:5" ht="15" customHeight="1">
      <c r="A9" s="5" t="s">
        <v>120</v>
      </c>
      <c r="B9" s="5" t="s">
        <v>40</v>
      </c>
      <c r="C9" s="5" t="s">
        <v>0</v>
      </c>
      <c r="D9" s="5" t="s">
        <v>0</v>
      </c>
      <c r="E9" s="5" t="s">
        <v>0</v>
      </c>
    </row>
    <row r="10" spans="1:5" ht="15" customHeight="1">
      <c r="A10" s="5" t="s">
        <v>121</v>
      </c>
      <c r="B10" s="5" t="s">
        <v>41</v>
      </c>
      <c r="C10" s="5" t="s">
        <v>0</v>
      </c>
      <c r="D10" s="5" t="s">
        <v>0</v>
      </c>
      <c r="E10" s="5" t="s">
        <v>0</v>
      </c>
    </row>
    <row r="11" spans="1:5" ht="15" customHeight="1">
      <c r="A11" s="5" t="s">
        <v>122</v>
      </c>
      <c r="B11" s="5" t="s">
        <v>42</v>
      </c>
      <c r="C11" s="5" t="s">
        <v>0</v>
      </c>
      <c r="D11" s="5" t="s">
        <v>0</v>
      </c>
      <c r="E11" s="5" t="s">
        <v>0</v>
      </c>
    </row>
    <row r="12" spans="1:5" ht="15" customHeight="1">
      <c r="A12" s="5" t="s">
        <v>123</v>
      </c>
      <c r="B12" s="5" t="s">
        <v>43</v>
      </c>
      <c r="C12" s="5" t="s">
        <v>0</v>
      </c>
      <c r="D12" s="5" t="s">
        <v>0</v>
      </c>
      <c r="E12" s="5" t="s">
        <v>0</v>
      </c>
    </row>
    <row r="13" spans="1:5" ht="15" customHeight="1">
      <c r="A13" s="5" t="s">
        <v>124</v>
      </c>
      <c r="B13" s="5" t="s">
        <v>49</v>
      </c>
      <c r="C13" s="5" t="s">
        <v>0</v>
      </c>
      <c r="D13" s="5" t="s">
        <v>0</v>
      </c>
      <c r="E13" s="5" t="s">
        <v>0</v>
      </c>
    </row>
    <row r="14" spans="1:5" ht="15" customHeight="1">
      <c r="A14" s="10" t="s">
        <v>125</v>
      </c>
      <c r="B14" s="5" t="s">
        <v>86</v>
      </c>
      <c r="C14" s="5" t="s">
        <v>0</v>
      </c>
      <c r="D14" s="5" t="s">
        <v>0</v>
      </c>
      <c r="E14" s="5" t="s">
        <v>0</v>
      </c>
    </row>
    <row r="15" spans="1:5" ht="15" customHeight="1">
      <c r="A15" s="5" t="s">
        <v>126</v>
      </c>
      <c r="B15" s="5" t="s">
        <v>127</v>
      </c>
      <c r="C15" s="5" t="s">
        <v>0</v>
      </c>
      <c r="D15" s="5" t="s">
        <v>0</v>
      </c>
      <c r="E15" s="5" t="s">
        <v>0</v>
      </c>
    </row>
    <row r="16" spans="1:5" ht="15" customHeight="1">
      <c r="A16" s="5" t="s">
        <v>128</v>
      </c>
      <c r="B16" s="5" t="s">
        <v>129</v>
      </c>
      <c r="C16" s="5" t="s">
        <v>0</v>
      </c>
      <c r="D16" s="5" t="s">
        <v>0</v>
      </c>
      <c r="E16" s="5" t="s">
        <v>0</v>
      </c>
    </row>
    <row r="17" spans="1:5" ht="15" customHeight="1">
      <c r="A17" s="5" t="s">
        <v>130</v>
      </c>
      <c r="B17" s="5" t="s">
        <v>60</v>
      </c>
      <c r="C17" s="5" t="s">
        <v>0</v>
      </c>
      <c r="D17" s="5" t="s">
        <v>0</v>
      </c>
      <c r="E17" s="5" t="s">
        <v>0</v>
      </c>
    </row>
    <row r="18" spans="1:5" ht="15" customHeight="1">
      <c r="A18" s="5" t="s">
        <v>131</v>
      </c>
      <c r="B18" s="5" t="s">
        <v>61</v>
      </c>
      <c r="C18" s="5" t="s">
        <v>0</v>
      </c>
      <c r="D18" s="5" t="s">
        <v>0</v>
      </c>
      <c r="E18" s="5" t="s">
        <v>0</v>
      </c>
    </row>
    <row r="19" spans="1:5" ht="15" customHeight="1">
      <c r="A19" s="5" t="s">
        <v>132</v>
      </c>
      <c r="B19" s="5" t="s">
        <v>133</v>
      </c>
      <c r="C19" s="5" t="s">
        <v>0</v>
      </c>
      <c r="D19" s="5" t="s">
        <v>0</v>
      </c>
      <c r="E19" s="5" t="s">
        <v>0</v>
      </c>
    </row>
    <row r="20" spans="1:5" ht="15" customHeight="1">
      <c r="A20" s="5" t="s">
        <v>134</v>
      </c>
      <c r="B20" s="5" t="s">
        <v>64</v>
      </c>
      <c r="C20" s="5" t="s">
        <v>0</v>
      </c>
      <c r="D20" s="5" t="s">
        <v>0</v>
      </c>
      <c r="E20" s="5" t="s">
        <v>0</v>
      </c>
    </row>
    <row r="21" spans="1:5" ht="15" customHeight="1">
      <c r="A21" s="10" t="s">
        <v>135</v>
      </c>
      <c r="B21" s="5" t="s">
        <v>67</v>
      </c>
      <c r="C21" s="5" t="s">
        <v>0</v>
      </c>
      <c r="D21" s="5" t="s">
        <v>0</v>
      </c>
      <c r="E21" s="5" t="s">
        <v>0</v>
      </c>
    </row>
    <row r="22" spans="1:5" ht="15" customHeight="1">
      <c r="A22" s="10" t="s">
        <v>136</v>
      </c>
      <c r="B22" s="5" t="s">
        <v>137</v>
      </c>
      <c r="C22" s="5" t="s">
        <v>0</v>
      </c>
      <c r="D22" s="5" t="s">
        <v>0</v>
      </c>
      <c r="E22" s="5" t="s">
        <v>0</v>
      </c>
    </row>
    <row r="23" spans="1:5" ht="15" customHeight="1">
      <c r="A23" s="5" t="s">
        <v>138</v>
      </c>
      <c r="B23" s="5" t="s">
        <v>139</v>
      </c>
      <c r="C23" s="5" t="s">
        <v>0</v>
      </c>
      <c r="D23" s="5" t="s">
        <v>0</v>
      </c>
      <c r="E23" s="5" t="s">
        <v>0</v>
      </c>
    </row>
    <row r="24" spans="1:5" ht="15" customHeight="1">
      <c r="A24" s="5" t="s">
        <v>140</v>
      </c>
      <c r="B24" s="5" t="s">
        <v>141</v>
      </c>
      <c r="C24" s="5" t="s">
        <v>0</v>
      </c>
      <c r="D24" s="5" t="s">
        <v>0</v>
      </c>
      <c r="E24" s="5" t="s">
        <v>0</v>
      </c>
    </row>
    <row r="25" spans="1:5" ht="15" customHeight="1">
      <c r="A25" s="5" t="s">
        <v>142</v>
      </c>
      <c r="B25" s="5" t="s">
        <v>143</v>
      </c>
      <c r="C25" s="5" t="s">
        <v>0</v>
      </c>
      <c r="D25" s="5" t="s">
        <v>0</v>
      </c>
      <c r="E25" s="5" t="s">
        <v>0</v>
      </c>
    </row>
    <row r="26" spans="1:5" ht="15" customHeight="1">
      <c r="A26" s="5" t="s">
        <v>144</v>
      </c>
      <c r="B26" s="5" t="s">
        <v>145</v>
      </c>
      <c r="C26" s="5" t="s">
        <v>0</v>
      </c>
      <c r="D26" s="5" t="s">
        <v>0</v>
      </c>
      <c r="E26" s="5" t="s">
        <v>0</v>
      </c>
    </row>
    <row r="27" spans="1:5" ht="15" customHeight="1">
      <c r="A27" s="10" t="s">
        <v>146</v>
      </c>
      <c r="B27" s="5" t="s">
        <v>147</v>
      </c>
      <c r="C27" s="5" t="s">
        <v>0</v>
      </c>
      <c r="D27" s="5" t="s">
        <v>0</v>
      </c>
      <c r="E27" s="5" t="s">
        <v>0</v>
      </c>
    </row>
    <row r="28" spans="1:5" ht="15" customHeight="1">
      <c r="A28" s="5" t="s">
        <v>148</v>
      </c>
      <c r="B28" s="5" t="s">
        <v>149</v>
      </c>
      <c r="C28" s="5"/>
      <c r="D28" s="5"/>
      <c r="E28" s="5"/>
    </row>
    <row r="29" spans="1:5" ht="15" customHeight="1">
      <c r="A29" s="5" t="s">
        <v>140</v>
      </c>
      <c r="B29" s="5" t="s">
        <v>150</v>
      </c>
      <c r="C29" s="5"/>
      <c r="D29" s="5"/>
      <c r="E29" s="5"/>
    </row>
    <row r="30" spans="1:5" ht="15" customHeight="1">
      <c r="A30" s="5" t="s">
        <v>151</v>
      </c>
      <c r="B30" s="5" t="s">
        <v>152</v>
      </c>
      <c r="C30" s="5"/>
      <c r="D30" s="5"/>
      <c r="E30" s="5"/>
    </row>
    <row r="31" spans="1:5" ht="15" customHeight="1">
      <c r="A31" s="5" t="s">
        <v>144</v>
      </c>
      <c r="B31" s="5" t="s">
        <v>153</v>
      </c>
      <c r="C31" s="5"/>
      <c r="D31" s="5"/>
      <c r="E31" s="5"/>
    </row>
    <row r="32" spans="1:5" ht="15" customHeight="1">
      <c r="A32" s="10" t="s">
        <v>154</v>
      </c>
      <c r="B32" s="5" t="s">
        <v>155</v>
      </c>
      <c r="C32" s="5"/>
      <c r="D32" s="5"/>
      <c r="E32" s="5"/>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F10"/>
  <sheetViews>
    <sheetView workbookViewId="0">
      <selection activeCell="C9" sqref="C9"/>
    </sheetView>
  </sheetViews>
  <sheetFormatPr defaultRowHeight="12.5"/>
  <cols>
    <col min="1" max="1" width="3.36328125" bestFit="1" customWidth="1"/>
    <col min="2" max="2" width="4.6328125" bestFit="1" customWidth="1"/>
    <col min="3" max="3" width="79.90625" bestFit="1" customWidth="1"/>
    <col min="4" max="4" width="13.08984375" customWidth="1"/>
    <col min="5" max="6" width="27.54296875" customWidth="1"/>
  </cols>
  <sheetData>
    <row r="1" spans="1:6" ht="26.4" customHeight="1">
      <c r="A1" s="88" t="s">
        <v>462</v>
      </c>
      <c r="B1" s="89"/>
      <c r="C1" s="31" t="s">
        <v>463</v>
      </c>
      <c r="D1" s="31" t="s">
        <v>204</v>
      </c>
      <c r="E1" s="31" t="s">
        <v>208</v>
      </c>
      <c r="F1" s="31" t="s">
        <v>297</v>
      </c>
    </row>
    <row r="2" spans="1:6" ht="25">
      <c r="A2" s="69" t="s">
        <v>69</v>
      </c>
      <c r="B2" s="69"/>
      <c r="C2" s="70" t="s">
        <v>464</v>
      </c>
      <c r="D2" s="71" t="s">
        <v>156</v>
      </c>
      <c r="E2" s="44">
        <v>108382997578</v>
      </c>
      <c r="F2" s="44">
        <v>103421498423</v>
      </c>
    </row>
    <row r="3" spans="1:6" ht="50">
      <c r="A3" s="69" t="s">
        <v>86</v>
      </c>
      <c r="B3" s="69"/>
      <c r="C3" s="70" t="s">
        <v>465</v>
      </c>
      <c r="D3" s="71" t="s">
        <v>157</v>
      </c>
      <c r="E3" s="44">
        <v>2244176766</v>
      </c>
      <c r="F3" s="44">
        <v>2663686046</v>
      </c>
    </row>
    <row r="4" spans="1:6" ht="25">
      <c r="A4" s="90"/>
      <c r="B4" s="72" t="s">
        <v>158</v>
      </c>
      <c r="C4" s="73" t="s">
        <v>466</v>
      </c>
      <c r="D4" s="74" t="s">
        <v>159</v>
      </c>
      <c r="E4" s="75">
        <v>2244176766</v>
      </c>
      <c r="F4" s="75">
        <v>2663686046</v>
      </c>
    </row>
    <row r="5" spans="1:6" ht="25">
      <c r="A5" s="91"/>
      <c r="B5" s="72" t="s">
        <v>160</v>
      </c>
      <c r="C5" s="73" t="s">
        <v>467</v>
      </c>
      <c r="D5" s="74" t="s">
        <v>161</v>
      </c>
      <c r="E5" s="75">
        <v>0</v>
      </c>
      <c r="F5" s="75">
        <v>0</v>
      </c>
    </row>
    <row r="6" spans="1:6" ht="25">
      <c r="A6" s="69" t="s">
        <v>162</v>
      </c>
      <c r="B6" s="69"/>
      <c r="C6" s="70" t="s">
        <v>468</v>
      </c>
      <c r="D6" s="71" t="s">
        <v>163</v>
      </c>
      <c r="E6" s="44">
        <v>-321688583</v>
      </c>
      <c r="F6" s="44">
        <v>-72451159</v>
      </c>
    </row>
    <row r="7" spans="1:6" ht="25">
      <c r="A7" s="90"/>
      <c r="B7" s="72" t="s">
        <v>164</v>
      </c>
      <c r="C7" s="73" t="s">
        <v>469</v>
      </c>
      <c r="D7" s="74" t="s">
        <v>165</v>
      </c>
      <c r="E7" s="75">
        <v>19144000</v>
      </c>
      <c r="F7" s="75">
        <v>127500000</v>
      </c>
    </row>
    <row r="8" spans="1:6" ht="25">
      <c r="A8" s="91"/>
      <c r="B8" s="72" t="s">
        <v>166</v>
      </c>
      <c r="C8" s="73" t="s">
        <v>470</v>
      </c>
      <c r="D8" s="74" t="s">
        <v>167</v>
      </c>
      <c r="E8" s="75">
        <v>-340832583</v>
      </c>
      <c r="F8" s="75">
        <v>-199951159</v>
      </c>
    </row>
    <row r="9" spans="1:6" ht="37.5">
      <c r="A9" s="69" t="s">
        <v>168</v>
      </c>
      <c r="B9" s="69"/>
      <c r="C9" s="70" t="s">
        <v>471</v>
      </c>
      <c r="D9" s="71" t="s">
        <v>169</v>
      </c>
      <c r="E9" s="44">
        <v>110305485761</v>
      </c>
      <c r="F9" s="44">
        <v>106012733310</v>
      </c>
    </row>
    <row r="10" spans="1:6" ht="25">
      <c r="A10" s="69" t="s">
        <v>180</v>
      </c>
      <c r="B10" s="69"/>
      <c r="C10" s="70" t="s">
        <v>572</v>
      </c>
      <c r="D10" s="71" t="s">
        <v>573</v>
      </c>
      <c r="E10" s="76">
        <v>11023.02</v>
      </c>
      <c r="F10" s="76">
        <v>10539.27</v>
      </c>
    </row>
  </sheetData>
  <mergeCells count="3">
    <mergeCell ref="A1:B1"/>
    <mergeCell ref="A4:A5"/>
    <mergeCell ref="A7:A8"/>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fitToPage="1"/>
  </sheetPr>
  <dimension ref="A1:I34"/>
  <sheetViews>
    <sheetView tabSelected="1" topLeftCell="A22" workbookViewId="0">
      <selection activeCell="C26" sqref="C26"/>
    </sheetView>
  </sheetViews>
  <sheetFormatPr defaultRowHeight="12.5"/>
  <cols>
    <col min="1" max="1" width="8.90625" customWidth="1"/>
    <col min="2" max="2" width="41.08984375" customWidth="1"/>
    <col min="3" max="3" width="15.6328125" customWidth="1"/>
    <col min="4" max="4" width="9.54296875" customWidth="1"/>
    <col min="5" max="5" width="29.453125" customWidth="1"/>
    <col min="6" max="6" width="18.6328125" bestFit="1" customWidth="1"/>
    <col min="7" max="7" width="29.6328125" customWidth="1"/>
    <col min="8" max="8" width="15.08984375" bestFit="1" customWidth="1"/>
  </cols>
  <sheetData>
    <row r="1" spans="1:7" ht="50">
      <c r="A1" s="57" t="s">
        <v>520</v>
      </c>
      <c r="B1" s="57" t="s">
        <v>521</v>
      </c>
      <c r="C1" s="92" t="s">
        <v>522</v>
      </c>
      <c r="D1" s="57" t="s">
        <v>523</v>
      </c>
      <c r="E1" s="57" t="s">
        <v>524</v>
      </c>
      <c r="F1" s="57" t="s">
        <v>525</v>
      </c>
      <c r="G1" s="57" t="s">
        <v>526</v>
      </c>
    </row>
    <row r="2" spans="1:7">
      <c r="A2" s="57"/>
      <c r="B2" s="57"/>
      <c r="C2" s="93"/>
      <c r="D2" s="57" t="s">
        <v>6</v>
      </c>
      <c r="E2" s="57" t="s">
        <v>9</v>
      </c>
      <c r="F2" s="57" t="s">
        <v>12</v>
      </c>
      <c r="G2" s="57" t="s">
        <v>15</v>
      </c>
    </row>
    <row r="3" spans="1:7" ht="25">
      <c r="A3" s="61" t="s">
        <v>69</v>
      </c>
      <c r="B3" s="62" t="s">
        <v>527</v>
      </c>
      <c r="C3" s="61" t="s">
        <v>170</v>
      </c>
      <c r="D3" s="44"/>
      <c r="E3" s="44"/>
      <c r="F3" s="44"/>
      <c r="G3" s="63"/>
    </row>
    <row r="4" spans="1:7" ht="25">
      <c r="A4" s="61"/>
      <c r="B4" s="62" t="s">
        <v>529</v>
      </c>
      <c r="C4" s="61" t="s">
        <v>171</v>
      </c>
      <c r="D4" s="44"/>
      <c r="E4" s="44"/>
      <c r="F4" s="44"/>
      <c r="G4" s="63"/>
    </row>
    <row r="5" spans="1:7" ht="25">
      <c r="A5" s="61" t="s">
        <v>86</v>
      </c>
      <c r="B5" s="62" t="s">
        <v>528</v>
      </c>
      <c r="C5" s="61" t="s">
        <v>172</v>
      </c>
      <c r="D5" s="44"/>
      <c r="E5" s="44"/>
      <c r="F5" s="44"/>
      <c r="G5" s="63"/>
    </row>
    <row r="6" spans="1:7" ht="25">
      <c r="A6" s="61"/>
      <c r="B6" s="62" t="s">
        <v>529</v>
      </c>
      <c r="C6" s="61" t="s">
        <v>173</v>
      </c>
      <c r="D6" s="44">
        <v>0</v>
      </c>
      <c r="E6" s="44"/>
      <c r="F6" s="44">
        <v>0</v>
      </c>
      <c r="G6" s="63">
        <v>0</v>
      </c>
    </row>
    <row r="7" spans="1:7" ht="25">
      <c r="A7" s="61"/>
      <c r="B7" s="62" t="s">
        <v>530</v>
      </c>
      <c r="C7" s="61" t="s">
        <v>174</v>
      </c>
      <c r="D7" s="44"/>
      <c r="E7" s="44"/>
      <c r="F7" s="44"/>
      <c r="G7" s="63"/>
    </row>
    <row r="8" spans="1:7" ht="25">
      <c r="A8" s="61" t="s">
        <v>162</v>
      </c>
      <c r="B8" s="62" t="s">
        <v>531</v>
      </c>
      <c r="C8" s="61" t="s">
        <v>175</v>
      </c>
      <c r="D8" s="44"/>
      <c r="E8" s="44"/>
      <c r="F8" s="44"/>
      <c r="G8" s="63"/>
    </row>
    <row r="9" spans="1:7" ht="25">
      <c r="A9" s="64" t="s">
        <v>6</v>
      </c>
      <c r="B9" s="65" t="s">
        <v>546</v>
      </c>
      <c r="C9" s="66" t="s">
        <v>547</v>
      </c>
      <c r="D9" s="37">
        <v>0</v>
      </c>
      <c r="E9" s="67"/>
      <c r="F9" s="37">
        <v>0</v>
      </c>
      <c r="G9" s="68">
        <v>0</v>
      </c>
    </row>
    <row r="10" spans="1:7" ht="25">
      <c r="A10" s="64" t="s">
        <v>9</v>
      </c>
      <c r="B10" s="65" t="s">
        <v>548</v>
      </c>
      <c r="C10" s="66" t="s">
        <v>549</v>
      </c>
      <c r="D10" s="37">
        <v>0</v>
      </c>
      <c r="E10" s="67"/>
      <c r="F10" s="37">
        <v>0</v>
      </c>
      <c r="G10" s="68">
        <v>0</v>
      </c>
    </row>
    <row r="11" spans="1:7" ht="25">
      <c r="A11" s="61"/>
      <c r="B11" s="62" t="s">
        <v>529</v>
      </c>
      <c r="C11" s="61" t="s">
        <v>176</v>
      </c>
      <c r="D11" s="44">
        <v>0</v>
      </c>
      <c r="E11" s="44"/>
      <c r="F11" s="44">
        <v>0</v>
      </c>
      <c r="G11" s="63">
        <v>0</v>
      </c>
    </row>
    <row r="12" spans="1:7" ht="25">
      <c r="A12" s="61" t="s">
        <v>168</v>
      </c>
      <c r="B12" s="62" t="s">
        <v>532</v>
      </c>
      <c r="C12" s="61" t="s">
        <v>177</v>
      </c>
      <c r="D12" s="44"/>
      <c r="E12" s="44"/>
      <c r="F12" s="44"/>
      <c r="G12" s="63"/>
    </row>
    <row r="13" spans="1:7" ht="25">
      <c r="A13" s="64" t="s">
        <v>6</v>
      </c>
      <c r="B13" s="65" t="s">
        <v>326</v>
      </c>
      <c r="C13" s="66" t="s">
        <v>550</v>
      </c>
      <c r="D13" s="37">
        <v>0</v>
      </c>
      <c r="E13" s="67"/>
      <c r="F13" s="37">
        <v>0</v>
      </c>
      <c r="G13" s="68">
        <v>0</v>
      </c>
    </row>
    <row r="14" spans="1:7" ht="25">
      <c r="A14" s="64" t="s">
        <v>9</v>
      </c>
      <c r="B14" s="65" t="s">
        <v>551</v>
      </c>
      <c r="C14" s="66" t="s">
        <v>552</v>
      </c>
      <c r="D14" s="37">
        <v>0</v>
      </c>
      <c r="E14" s="67"/>
      <c r="F14" s="37">
        <v>0</v>
      </c>
      <c r="G14" s="68">
        <v>0</v>
      </c>
    </row>
    <row r="15" spans="1:7" ht="25">
      <c r="A15" s="61"/>
      <c r="B15" s="62" t="s">
        <v>553</v>
      </c>
      <c r="C15" s="61" t="s">
        <v>178</v>
      </c>
      <c r="D15" s="44"/>
      <c r="E15" s="44"/>
      <c r="F15" s="44">
        <v>0</v>
      </c>
      <c r="G15" s="63">
        <v>0</v>
      </c>
    </row>
    <row r="16" spans="1:7" ht="25">
      <c r="A16" s="61"/>
      <c r="B16" s="62" t="s">
        <v>533</v>
      </c>
      <c r="C16" s="61" t="s">
        <v>179</v>
      </c>
      <c r="D16" s="44"/>
      <c r="E16" s="44"/>
      <c r="F16" s="44">
        <v>0</v>
      </c>
      <c r="G16" s="63">
        <v>0</v>
      </c>
    </row>
    <row r="17" spans="1:9" ht="25">
      <c r="A17" s="61" t="s">
        <v>180</v>
      </c>
      <c r="B17" s="62" t="s">
        <v>534</v>
      </c>
      <c r="C17" s="61" t="s">
        <v>181</v>
      </c>
      <c r="D17" s="44"/>
      <c r="E17" s="44"/>
      <c r="F17" s="44"/>
      <c r="G17" s="63"/>
    </row>
    <row r="18" spans="1:9" ht="25">
      <c r="A18" s="64" t="s">
        <v>6</v>
      </c>
      <c r="B18" s="65" t="s">
        <v>535</v>
      </c>
      <c r="C18" s="66" t="s">
        <v>554</v>
      </c>
      <c r="D18" s="37"/>
      <c r="E18" s="67"/>
      <c r="F18" s="37">
        <v>0</v>
      </c>
      <c r="G18" s="68">
        <v>0</v>
      </c>
    </row>
    <row r="19" spans="1:9" ht="25">
      <c r="A19" s="64" t="s">
        <v>9</v>
      </c>
      <c r="B19" s="65" t="s">
        <v>536</v>
      </c>
      <c r="C19" s="66" t="s">
        <v>555</v>
      </c>
      <c r="D19" s="37"/>
      <c r="E19" s="67"/>
      <c r="F19" s="37">
        <v>0</v>
      </c>
      <c r="G19" s="68">
        <v>0</v>
      </c>
    </row>
    <row r="20" spans="1:9" ht="37.5">
      <c r="A20" s="64" t="s">
        <v>12</v>
      </c>
      <c r="B20" s="65" t="s">
        <v>537</v>
      </c>
      <c r="C20" s="66" t="s">
        <v>556</v>
      </c>
      <c r="D20" s="37"/>
      <c r="E20" s="67"/>
      <c r="F20" s="37">
        <v>3467764384</v>
      </c>
      <c r="G20" s="68">
        <v>3.1357214169116902E-2</v>
      </c>
    </row>
    <row r="21" spans="1:9" ht="25">
      <c r="A21" s="64" t="s">
        <v>15</v>
      </c>
      <c r="B21" s="65" t="s">
        <v>538</v>
      </c>
      <c r="C21" s="66" t="s">
        <v>557</v>
      </c>
      <c r="D21" s="37"/>
      <c r="E21" s="67"/>
      <c r="F21" s="37">
        <v>0</v>
      </c>
      <c r="G21" s="68">
        <v>0</v>
      </c>
    </row>
    <row r="22" spans="1:9" ht="37.5">
      <c r="A22" s="64" t="s">
        <v>18</v>
      </c>
      <c r="B22" s="65" t="s">
        <v>365</v>
      </c>
      <c r="C22" s="66" t="s">
        <v>558</v>
      </c>
      <c r="D22" s="37"/>
      <c r="E22" s="67"/>
      <c r="F22" s="37">
        <v>0</v>
      </c>
      <c r="G22" s="68">
        <v>0</v>
      </c>
    </row>
    <row r="23" spans="1:9" ht="25">
      <c r="A23" s="64" t="s">
        <v>559</v>
      </c>
      <c r="B23" s="65" t="s">
        <v>539</v>
      </c>
      <c r="C23" s="66" t="s">
        <v>560</v>
      </c>
      <c r="D23" s="37"/>
      <c r="E23" s="67"/>
      <c r="F23" s="37">
        <v>0</v>
      </c>
      <c r="G23" s="68">
        <v>0</v>
      </c>
    </row>
    <row r="24" spans="1:9" ht="25">
      <c r="A24" s="64" t="s">
        <v>561</v>
      </c>
      <c r="B24" s="65" t="s">
        <v>540</v>
      </c>
      <c r="C24" s="66" t="s">
        <v>562</v>
      </c>
      <c r="D24" s="37"/>
      <c r="E24" s="67"/>
      <c r="F24" s="37">
        <v>0</v>
      </c>
      <c r="G24" s="68">
        <v>0</v>
      </c>
    </row>
    <row r="25" spans="1:9" ht="25">
      <c r="A25" s="61"/>
      <c r="B25" s="62" t="s">
        <v>529</v>
      </c>
      <c r="C25" s="61">
        <v>4041</v>
      </c>
      <c r="D25" s="44"/>
      <c r="E25" s="44"/>
      <c r="F25" s="44">
        <v>3467764384</v>
      </c>
      <c r="G25" s="63">
        <v>3.1357214169116902E-2</v>
      </c>
    </row>
    <row r="26" spans="1:9" ht="25">
      <c r="A26" s="61" t="s">
        <v>108</v>
      </c>
      <c r="B26" s="62" t="s">
        <v>541</v>
      </c>
      <c r="C26" s="61" t="s">
        <v>182</v>
      </c>
      <c r="D26" s="44"/>
      <c r="E26" s="44"/>
      <c r="F26" s="44"/>
      <c r="G26" s="63"/>
    </row>
    <row r="27" spans="1:9" ht="25">
      <c r="A27" s="64" t="s">
        <v>6</v>
      </c>
      <c r="B27" s="65" t="s">
        <v>542</v>
      </c>
      <c r="C27" s="66" t="s">
        <v>183</v>
      </c>
      <c r="D27" s="37"/>
      <c r="E27" s="67"/>
      <c r="F27" s="37">
        <v>92121281100</v>
      </c>
      <c r="G27" s="68">
        <v>0.83300548166253996</v>
      </c>
      <c r="H27" s="58"/>
      <c r="I27" s="58"/>
    </row>
    <row r="28" spans="1:9" ht="25">
      <c r="A28" s="64" t="s">
        <v>563</v>
      </c>
      <c r="B28" s="65" t="s">
        <v>564</v>
      </c>
      <c r="C28" s="66" t="s">
        <v>565</v>
      </c>
      <c r="D28" s="37"/>
      <c r="E28" s="67"/>
      <c r="F28" s="37">
        <v>1321281100</v>
      </c>
      <c r="G28" s="68">
        <v>1.1947667096838799E-2</v>
      </c>
    </row>
    <row r="29" spans="1:9" ht="25">
      <c r="A29" s="64" t="s">
        <v>566</v>
      </c>
      <c r="B29" s="65" t="s">
        <v>567</v>
      </c>
      <c r="C29" s="66" t="s">
        <v>568</v>
      </c>
      <c r="D29" s="37"/>
      <c r="E29" s="67"/>
      <c r="F29" s="37">
        <v>0</v>
      </c>
      <c r="G29" s="68">
        <v>0</v>
      </c>
    </row>
    <row r="30" spans="1:9" ht="25">
      <c r="A30" s="64" t="s">
        <v>569</v>
      </c>
      <c r="B30" s="65" t="s">
        <v>570</v>
      </c>
      <c r="C30" s="66" t="s">
        <v>571</v>
      </c>
      <c r="D30" s="37"/>
      <c r="E30" s="67"/>
      <c r="F30" s="37">
        <v>90800000000</v>
      </c>
      <c r="G30" s="68">
        <v>0.82105781456570104</v>
      </c>
    </row>
    <row r="31" spans="1:9" ht="25">
      <c r="A31" s="64" t="s">
        <v>9</v>
      </c>
      <c r="B31" s="65" t="s">
        <v>543</v>
      </c>
      <c r="C31" s="66" t="s">
        <v>184</v>
      </c>
      <c r="D31" s="37"/>
      <c r="E31" s="67"/>
      <c r="F31" s="37">
        <v>15000000000</v>
      </c>
      <c r="G31" s="68">
        <v>0.13563730416834299</v>
      </c>
    </row>
    <row r="32" spans="1:9" ht="25">
      <c r="A32" s="64" t="s">
        <v>12</v>
      </c>
      <c r="B32" s="65" t="s">
        <v>544</v>
      </c>
      <c r="C32" s="66" t="s">
        <v>185</v>
      </c>
      <c r="D32" s="37"/>
      <c r="E32" s="67"/>
      <c r="F32" s="37">
        <v>0</v>
      </c>
      <c r="G32" s="68">
        <v>0</v>
      </c>
    </row>
    <row r="33" spans="1:7" ht="25">
      <c r="A33" s="61"/>
      <c r="B33" s="62" t="s">
        <v>529</v>
      </c>
      <c r="C33" s="61" t="s">
        <v>186</v>
      </c>
      <c r="D33" s="44"/>
      <c r="E33" s="44"/>
      <c r="F33" s="44">
        <v>107121281100</v>
      </c>
      <c r="G33" s="63">
        <v>0.96864278583088304</v>
      </c>
    </row>
    <row r="34" spans="1:7" ht="25">
      <c r="A34" s="61" t="s">
        <v>187</v>
      </c>
      <c r="B34" s="62" t="s">
        <v>545</v>
      </c>
      <c r="C34" s="61" t="s">
        <v>188</v>
      </c>
      <c r="D34" s="44"/>
      <c r="E34" s="44"/>
      <c r="F34" s="44">
        <v>110589045484</v>
      </c>
      <c r="G34" s="63">
        <v>1</v>
      </c>
    </row>
  </sheetData>
  <mergeCells count="1">
    <mergeCell ref="C1:C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fitToPage="1"/>
  </sheetPr>
  <dimension ref="A1:E48"/>
  <sheetViews>
    <sheetView topLeftCell="A40" workbookViewId="0">
      <selection sqref="A1:E48"/>
    </sheetView>
  </sheetViews>
  <sheetFormatPr defaultRowHeight="12.5"/>
  <cols>
    <col min="1" max="1" width="61.81640625" customWidth="1"/>
    <col min="2" max="2" width="6.90625" customWidth="1"/>
    <col min="3" max="3" width="24.453125" customWidth="1"/>
    <col min="4" max="5" width="21.54296875" customWidth="1"/>
  </cols>
  <sheetData>
    <row r="1" spans="1:5" ht="37.5">
      <c r="A1" s="31" t="s">
        <v>203</v>
      </c>
      <c r="B1" s="31" t="s">
        <v>204</v>
      </c>
      <c r="C1" s="31" t="s">
        <v>205</v>
      </c>
      <c r="D1" s="31" t="s">
        <v>208</v>
      </c>
      <c r="E1" s="31" t="s">
        <v>210</v>
      </c>
    </row>
    <row r="2" spans="1:5" ht="25">
      <c r="A2" s="45" t="s">
        <v>472</v>
      </c>
      <c r="B2" s="46" t="s">
        <v>69</v>
      </c>
      <c r="C2" s="47"/>
      <c r="D2" s="44"/>
      <c r="E2" s="44"/>
    </row>
    <row r="3" spans="1:5" ht="25">
      <c r="A3" s="48" t="s">
        <v>473</v>
      </c>
      <c r="B3" s="49" t="s">
        <v>34</v>
      </c>
      <c r="C3" s="50"/>
      <c r="D3" s="44">
        <v>2244176766</v>
      </c>
      <c r="E3" s="44">
        <v>2663686046</v>
      </c>
    </row>
    <row r="4" spans="1:5" ht="37.5">
      <c r="A4" s="48" t="s">
        <v>474</v>
      </c>
      <c r="B4" s="49" t="s">
        <v>35</v>
      </c>
      <c r="C4" s="50"/>
      <c r="D4" s="44">
        <v>4326027</v>
      </c>
      <c r="E4" s="44">
        <v>-16472005</v>
      </c>
    </row>
    <row r="5" spans="1:5" ht="37.5">
      <c r="A5" s="48" t="s">
        <v>475</v>
      </c>
      <c r="B5" s="49" t="s">
        <v>36</v>
      </c>
      <c r="C5" s="50"/>
      <c r="D5" s="51">
        <v>0</v>
      </c>
      <c r="E5" s="51">
        <v>0</v>
      </c>
    </row>
    <row r="6" spans="1:5" ht="25">
      <c r="A6" s="48" t="s">
        <v>476</v>
      </c>
      <c r="B6" s="49" t="s">
        <v>37</v>
      </c>
      <c r="C6" s="50"/>
      <c r="D6" s="51">
        <v>4326027</v>
      </c>
      <c r="E6" s="51">
        <v>-16472005</v>
      </c>
    </row>
    <row r="7" spans="1:5" ht="25">
      <c r="A7" s="48" t="s">
        <v>477</v>
      </c>
      <c r="B7" s="49" t="s">
        <v>38</v>
      </c>
      <c r="C7" s="50"/>
      <c r="D7" s="44">
        <v>2248502793</v>
      </c>
      <c r="E7" s="44">
        <v>2647214041</v>
      </c>
    </row>
    <row r="8" spans="1:5" ht="25">
      <c r="A8" s="48" t="s">
        <v>478</v>
      </c>
      <c r="B8" s="49" t="s">
        <v>49</v>
      </c>
      <c r="C8" s="50"/>
      <c r="D8" s="51">
        <v>-3000000000</v>
      </c>
      <c r="E8" s="51">
        <v>8000000000</v>
      </c>
    </row>
    <row r="9" spans="1:5" ht="37.5">
      <c r="A9" s="48" t="s">
        <v>479</v>
      </c>
      <c r="B9" s="49" t="s">
        <v>39</v>
      </c>
      <c r="C9" s="50"/>
      <c r="D9" s="51">
        <v>0</v>
      </c>
      <c r="E9" s="51">
        <v>0</v>
      </c>
    </row>
    <row r="10" spans="1:5" ht="25">
      <c r="A10" s="48" t="s">
        <v>480</v>
      </c>
      <c r="B10" s="49" t="s">
        <v>40</v>
      </c>
      <c r="C10" s="50"/>
      <c r="D10" s="51">
        <v>102402192</v>
      </c>
      <c r="E10" s="51">
        <v>-683621917</v>
      </c>
    </row>
    <row r="11" spans="1:5" ht="25">
      <c r="A11" s="48" t="s">
        <v>481</v>
      </c>
      <c r="B11" s="49" t="s">
        <v>41</v>
      </c>
      <c r="C11" s="50"/>
      <c r="D11" s="51">
        <v>0</v>
      </c>
      <c r="E11" s="51">
        <v>0</v>
      </c>
    </row>
    <row r="12" spans="1:5" ht="25">
      <c r="A12" s="48" t="s">
        <v>482</v>
      </c>
      <c r="B12" s="49" t="s">
        <v>42</v>
      </c>
      <c r="C12" s="50"/>
      <c r="D12" s="51">
        <v>0</v>
      </c>
      <c r="E12" s="51">
        <v>0</v>
      </c>
    </row>
    <row r="13" spans="1:5" ht="37.5">
      <c r="A13" s="48" t="s">
        <v>483</v>
      </c>
      <c r="B13" s="49" t="s">
        <v>43</v>
      </c>
      <c r="C13" s="50"/>
      <c r="D13" s="51">
        <v>0</v>
      </c>
      <c r="E13" s="51">
        <v>0</v>
      </c>
    </row>
    <row r="14" spans="1:5" ht="50">
      <c r="A14" s="48" t="s">
        <v>484</v>
      </c>
      <c r="B14" s="49" t="s">
        <v>44</v>
      </c>
      <c r="C14" s="50"/>
      <c r="D14" s="51">
        <v>0</v>
      </c>
      <c r="E14" s="51">
        <v>-146112</v>
      </c>
    </row>
    <row r="15" spans="1:5" ht="25">
      <c r="A15" s="48" t="s">
        <v>485</v>
      </c>
      <c r="B15" s="49" t="s">
        <v>45</v>
      </c>
      <c r="C15" s="50"/>
      <c r="D15" s="51">
        <v>0</v>
      </c>
      <c r="E15" s="51">
        <v>0</v>
      </c>
    </row>
    <row r="16" spans="1:5" ht="25">
      <c r="A16" s="48" t="s">
        <v>486</v>
      </c>
      <c r="B16" s="49" t="s">
        <v>46</v>
      </c>
      <c r="C16" s="50"/>
      <c r="D16" s="51">
        <v>1099</v>
      </c>
      <c r="E16" s="51">
        <v>-9222</v>
      </c>
    </row>
    <row r="17" spans="1:5" ht="25">
      <c r="A17" s="48" t="s">
        <v>487</v>
      </c>
      <c r="B17" s="49" t="s">
        <v>47</v>
      </c>
      <c r="C17" s="50"/>
      <c r="D17" s="51">
        <v>0</v>
      </c>
      <c r="E17" s="51">
        <v>2000000</v>
      </c>
    </row>
    <row r="18" spans="1:5" ht="25">
      <c r="A18" s="48" t="s">
        <v>488</v>
      </c>
      <c r="B18" s="49" t="s">
        <v>48</v>
      </c>
      <c r="C18" s="50"/>
      <c r="D18" s="51">
        <v>0</v>
      </c>
      <c r="E18" s="51">
        <v>0</v>
      </c>
    </row>
    <row r="19" spans="1:5" ht="25">
      <c r="A19" s="48" t="s">
        <v>489</v>
      </c>
      <c r="B19" s="49" t="s">
        <v>189</v>
      </c>
      <c r="C19" s="50"/>
      <c r="D19" s="51">
        <v>40500000</v>
      </c>
      <c r="E19" s="51">
        <v>0</v>
      </c>
    </row>
    <row r="20" spans="1:5" ht="25">
      <c r="A20" s="52" t="s">
        <v>490</v>
      </c>
      <c r="B20" s="49" t="s">
        <v>190</v>
      </c>
      <c r="C20" s="50"/>
      <c r="D20" s="51">
        <v>-994023</v>
      </c>
      <c r="E20" s="51">
        <v>5620376</v>
      </c>
    </row>
    <row r="21" spans="1:5" ht="25">
      <c r="A21" s="48" t="s">
        <v>491</v>
      </c>
      <c r="B21" s="49" t="s">
        <v>191</v>
      </c>
      <c r="C21" s="50"/>
      <c r="D21" s="51">
        <v>0</v>
      </c>
      <c r="E21" s="51">
        <v>0</v>
      </c>
    </row>
    <row r="22" spans="1:5" ht="25">
      <c r="A22" s="45" t="s">
        <v>492</v>
      </c>
      <c r="B22" s="46" t="s">
        <v>192</v>
      </c>
      <c r="C22" s="47"/>
      <c r="D22" s="44">
        <v>-609587939</v>
      </c>
      <c r="E22" s="44">
        <v>9971057166</v>
      </c>
    </row>
    <row r="23" spans="1:5" ht="25">
      <c r="A23" s="45" t="s">
        <v>493</v>
      </c>
      <c r="B23" s="46" t="s">
        <v>86</v>
      </c>
      <c r="C23" s="47"/>
      <c r="D23" s="44"/>
      <c r="E23" s="44"/>
    </row>
    <row r="24" spans="1:5" ht="25">
      <c r="A24" s="48" t="s">
        <v>494</v>
      </c>
      <c r="B24" s="49" t="s">
        <v>65</v>
      </c>
      <c r="C24" s="50"/>
      <c r="D24" s="51">
        <v>19144000</v>
      </c>
      <c r="E24" s="51">
        <v>127500000</v>
      </c>
    </row>
    <row r="25" spans="1:5" ht="25">
      <c r="A25" s="48" t="s">
        <v>495</v>
      </c>
      <c r="B25" s="49" t="s">
        <v>66</v>
      </c>
      <c r="C25" s="50"/>
      <c r="D25" s="51">
        <v>-340832583</v>
      </c>
      <c r="E25" s="51">
        <v>-199951159</v>
      </c>
    </row>
    <row r="26" spans="1:5" ht="25">
      <c r="A26" s="48" t="s">
        <v>496</v>
      </c>
      <c r="B26" s="49" t="s">
        <v>193</v>
      </c>
      <c r="C26" s="50"/>
      <c r="D26" s="51">
        <v>0</v>
      </c>
      <c r="E26" s="51">
        <v>0</v>
      </c>
    </row>
    <row r="27" spans="1:5" ht="25">
      <c r="A27" s="48" t="s">
        <v>497</v>
      </c>
      <c r="B27" s="49" t="s">
        <v>194</v>
      </c>
      <c r="C27" s="50"/>
      <c r="D27" s="51">
        <v>0</v>
      </c>
      <c r="E27" s="51">
        <v>0</v>
      </c>
    </row>
    <row r="28" spans="1:5" ht="25">
      <c r="A28" s="48" t="s">
        <v>498</v>
      </c>
      <c r="B28" s="49" t="s">
        <v>195</v>
      </c>
      <c r="C28" s="50"/>
      <c r="D28" s="51">
        <v>0</v>
      </c>
      <c r="E28" s="51">
        <v>0</v>
      </c>
    </row>
    <row r="29" spans="1:5" ht="37.5">
      <c r="A29" s="45" t="s">
        <v>499</v>
      </c>
      <c r="B29" s="46" t="s">
        <v>64</v>
      </c>
      <c r="C29" s="50"/>
      <c r="D29" s="44">
        <v>-321688583</v>
      </c>
      <c r="E29" s="44">
        <v>-72451159</v>
      </c>
    </row>
    <row r="30" spans="1:5" ht="37.5">
      <c r="A30" s="45" t="s">
        <v>500</v>
      </c>
      <c r="B30" s="46" t="s">
        <v>67</v>
      </c>
      <c r="C30" s="47"/>
      <c r="D30" s="44">
        <v>-931276522</v>
      </c>
      <c r="E30" s="44">
        <v>9898606007</v>
      </c>
    </row>
    <row r="31" spans="1:5" ht="25">
      <c r="A31" s="45" t="s">
        <v>501</v>
      </c>
      <c r="B31" s="46" t="s">
        <v>137</v>
      </c>
      <c r="C31" s="47"/>
      <c r="D31" s="44">
        <v>2252557622</v>
      </c>
      <c r="E31" s="44">
        <v>2365222439</v>
      </c>
    </row>
    <row r="32" spans="1:5" ht="25">
      <c r="A32" s="48" t="s">
        <v>502</v>
      </c>
      <c r="B32" s="49" t="s">
        <v>139</v>
      </c>
      <c r="C32" s="50"/>
      <c r="D32" s="51">
        <v>2252557622</v>
      </c>
      <c r="E32" s="51">
        <v>2365222439</v>
      </c>
    </row>
    <row r="33" spans="1:5" ht="25">
      <c r="A33" s="53" t="s">
        <v>503</v>
      </c>
      <c r="B33" s="49" t="s">
        <v>141</v>
      </c>
      <c r="C33" s="50"/>
      <c r="D33" s="51">
        <v>2252557622</v>
      </c>
      <c r="E33" s="51">
        <v>2365222439</v>
      </c>
    </row>
    <row r="34" spans="1:5" ht="25">
      <c r="A34" s="54" t="s">
        <v>504</v>
      </c>
      <c r="B34" s="55" t="s">
        <v>505</v>
      </c>
      <c r="C34" s="50"/>
      <c r="D34" s="51">
        <v>2252557622</v>
      </c>
      <c r="E34" s="51">
        <v>2365222439</v>
      </c>
    </row>
    <row r="35" spans="1:5" ht="25">
      <c r="A35" s="56" t="s">
        <v>506</v>
      </c>
      <c r="B35" s="55" t="s">
        <v>507</v>
      </c>
      <c r="C35" s="50"/>
      <c r="D35" s="51">
        <v>0</v>
      </c>
      <c r="E35" s="51">
        <v>0</v>
      </c>
    </row>
    <row r="36" spans="1:5" ht="25">
      <c r="A36" s="54" t="s">
        <v>309</v>
      </c>
      <c r="B36" s="55" t="s">
        <v>508</v>
      </c>
      <c r="C36" s="50"/>
      <c r="D36" s="51">
        <v>0</v>
      </c>
      <c r="E36" s="51">
        <v>0</v>
      </c>
    </row>
    <row r="37" spans="1:5" ht="25">
      <c r="A37" s="48" t="s">
        <v>509</v>
      </c>
      <c r="B37" s="49" t="s">
        <v>143</v>
      </c>
      <c r="C37" s="50"/>
      <c r="D37" s="51">
        <v>0</v>
      </c>
      <c r="E37" s="51">
        <v>0</v>
      </c>
    </row>
    <row r="38" spans="1:5" ht="25">
      <c r="A38" s="48" t="s">
        <v>510</v>
      </c>
      <c r="B38" s="49" t="s">
        <v>145</v>
      </c>
      <c r="C38" s="50"/>
      <c r="D38" s="51">
        <v>0</v>
      </c>
      <c r="E38" s="51">
        <v>0</v>
      </c>
    </row>
    <row r="39" spans="1:5" ht="25">
      <c r="A39" s="45" t="s">
        <v>511</v>
      </c>
      <c r="B39" s="46" t="s">
        <v>147</v>
      </c>
      <c r="C39" s="47"/>
      <c r="D39" s="44">
        <v>1321281100</v>
      </c>
      <c r="E39" s="44">
        <v>12263828446</v>
      </c>
    </row>
    <row r="40" spans="1:5" ht="25">
      <c r="A40" s="48" t="s">
        <v>512</v>
      </c>
      <c r="B40" s="49" t="s">
        <v>149</v>
      </c>
      <c r="C40" s="50"/>
      <c r="D40" s="51">
        <v>1321281100</v>
      </c>
      <c r="E40" s="51">
        <v>12263828446</v>
      </c>
    </row>
    <row r="41" spans="1:5" ht="25">
      <c r="A41" s="48" t="s">
        <v>503</v>
      </c>
      <c r="B41" s="49" t="s">
        <v>150</v>
      </c>
      <c r="C41" s="50"/>
      <c r="D41" s="51">
        <v>1321281100</v>
      </c>
      <c r="E41" s="51">
        <v>12261828446</v>
      </c>
    </row>
    <row r="42" spans="1:5" ht="25">
      <c r="A42" s="54" t="s">
        <v>504</v>
      </c>
      <c r="B42" s="55" t="s">
        <v>513</v>
      </c>
      <c r="C42" s="50"/>
      <c r="D42" s="51">
        <v>1321281100</v>
      </c>
      <c r="E42" s="51">
        <v>261828446</v>
      </c>
    </row>
    <row r="43" spans="1:5" ht="25">
      <c r="A43" s="56" t="s">
        <v>506</v>
      </c>
      <c r="B43" s="55" t="s">
        <v>514</v>
      </c>
      <c r="C43" s="50"/>
      <c r="D43" s="51">
        <v>0</v>
      </c>
      <c r="E43" s="51">
        <v>12000000000</v>
      </c>
    </row>
    <row r="44" spans="1:5" ht="25">
      <c r="A44" s="54" t="s">
        <v>309</v>
      </c>
      <c r="B44" s="55" t="s">
        <v>515</v>
      </c>
      <c r="C44" s="50"/>
      <c r="D44" s="51">
        <v>0</v>
      </c>
      <c r="E44" s="51">
        <v>0</v>
      </c>
    </row>
    <row r="45" spans="1:5" ht="25">
      <c r="A45" s="48" t="s">
        <v>516</v>
      </c>
      <c r="B45" s="49" t="s">
        <v>152</v>
      </c>
      <c r="C45" s="50"/>
      <c r="D45" s="51">
        <v>0</v>
      </c>
      <c r="E45" s="51">
        <v>2000000</v>
      </c>
    </row>
    <row r="46" spans="1:5" ht="25">
      <c r="A46" s="48" t="s">
        <v>517</v>
      </c>
      <c r="B46" s="49" t="s">
        <v>153</v>
      </c>
      <c r="C46" s="50"/>
      <c r="D46" s="51">
        <v>0</v>
      </c>
      <c r="E46" s="51">
        <v>0</v>
      </c>
    </row>
    <row r="47" spans="1:5" ht="25">
      <c r="A47" s="45" t="s">
        <v>518</v>
      </c>
      <c r="B47" s="46" t="s">
        <v>155</v>
      </c>
      <c r="C47" s="47"/>
      <c r="D47" s="44">
        <v>-931276522</v>
      </c>
      <c r="E47" s="44">
        <v>9898606007</v>
      </c>
    </row>
    <row r="48" spans="1:5" ht="25">
      <c r="A48" s="45" t="s">
        <v>519</v>
      </c>
      <c r="B48" s="46" t="s">
        <v>196</v>
      </c>
      <c r="C48" s="47"/>
      <c r="D48" s="44">
        <v>0</v>
      </c>
      <c r="E48" s="44">
        <v>0</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fitToPage="1"/>
  </sheetPr>
  <dimension ref="A1:A635"/>
  <sheetViews>
    <sheetView workbookViewId="0"/>
  </sheetViews>
  <sheetFormatPr defaultRowHeight="12.5"/>
  <sheetData>
    <row r="1" spans="1:1">
      <c r="A1" t="str">
        <f>CONCATENATE("{'SheetId':'471cb1af-a389-4255-b9dd-016a7d1c6972'",",","'UId':'eb638313-ee71-4bfd-940d-ef3a321fcecf'",",'Col':",COLUMN(BCThuNhap_06203!C3),",'Row':",ROW(BCThuNhap_06203!C3),",","'Format':'string'",",'Value':'",SUBSTITUTE(BCThuNhap_06203!C3,"'","\'"),"','TargetCode':''}")</f>
        <v>{'SheetId':'471cb1af-a389-4255-b9dd-016a7d1c6972','UId':'eb638313-ee71-4bfd-940d-ef3a321fcecf','Col':3,'Row':3,'Format':'string','Value':'','TargetCode':''}</v>
      </c>
    </row>
    <row r="2" spans="1:1">
      <c r="A2" t="str">
        <f>CONCATENATE("{'SheetId':'471cb1af-a389-4255-b9dd-016a7d1c6972'",",","'UId':'72c31d99-6a74-4b21-8ea4-e7852cbcbd44'",",'Col':",COLUMN(BCThuNhap_06203!D3),",'Row':",ROW(BCThuNhap_06203!D3),",","'Format':'numberic'",",'Value':'",SUBSTITUTE(BCThuNhap_06203!D3,"'","\'"),"','TargetCode':''}")</f>
        <v>{'SheetId':'471cb1af-a389-4255-b9dd-016a7d1c6972','UId':'72c31d99-6a74-4b21-8ea4-e7852cbcbd44','Col':4,'Row':3,'Format':'numberic','Value':'3372436164','TargetCode':''}</v>
      </c>
    </row>
    <row r="3" spans="1:1">
      <c r="A3" t="str">
        <f>CONCATENATE("{'SheetId':'471cb1af-a389-4255-b9dd-016a7d1c6972'",",","'UId':'3559eab5-6f21-4a75-87c5-93fbcb750750'",",'Col':",COLUMN(BCThuNhap_06203!E3),",'Row':",ROW(BCThuNhap_06203!E3),",","'Format':'numberic'",",'Value':'",SUBSTITUTE(BCThuNhap_06203!E3,"'","\'"),"','TargetCode':''}")</f>
        <v>{'SheetId':'471cb1af-a389-4255-b9dd-016a7d1c6972','UId':'3559eab5-6f21-4a75-87c5-93fbcb750750','Col':5,'Row':3,'Format':'numberic','Value':'3372436164','TargetCode':''}</v>
      </c>
    </row>
    <row r="4" spans="1:1">
      <c r="A4" t="str">
        <f>CONCATENATE("{'SheetId':'471cb1af-a389-4255-b9dd-016a7d1c6972'",",","'UId':'05cac1a8-3049-4f91-b1ab-17788cc23517'",",'Col':",COLUMN(BCThuNhap_06203!F3),",'Row':",ROW(BCThuNhap_06203!F3),",","'Format':'numberic'",",'Value':'",SUBSTITUTE(BCThuNhap_06203!F3,"'","\'"),"','TargetCode':''}")</f>
        <v>{'SheetId':'471cb1af-a389-4255-b9dd-016a7d1c6972','UId':'05cac1a8-3049-4f91-b1ab-17788cc23517','Col':6,'Row':3,'Format':'numberic','Value':'3759942465','TargetCode':''}</v>
      </c>
    </row>
    <row r="5" spans="1:1">
      <c r="A5" t="str">
        <f>CONCATENATE("{'SheetId':'471cb1af-a389-4255-b9dd-016a7d1c6972'",",","'UId':'ea4ba63c-5d5f-4409-9e7e-a6d98ae0aafa'",",'Col':",COLUMN(BCThuNhap_06203!G3),",'Row':",ROW(BCThuNhap_06203!G3),",","'Format':'numberic'",",'Value':'",SUBSTITUTE(BCThuNhap_06203!G3,"'","\'"),"','TargetCode':''}")</f>
        <v>{'SheetId':'471cb1af-a389-4255-b9dd-016a7d1c6972','UId':'ea4ba63c-5d5f-4409-9e7e-a6d98ae0aafa','Col':7,'Row':3,'Format':'numberic','Value':'3759942465','TargetCode':''}</v>
      </c>
    </row>
    <row r="6" spans="1:1">
      <c r="A6" t="str">
        <f>CONCATENATE("{'SheetId':'471cb1af-a389-4255-b9dd-016a7d1c6972'",",","'UId':'00bea7d7-311e-426d-8b86-0cffdb25a98c'",",'Col':",COLUMN(BCThuNhap_06203!C4),",'Row':",ROW(BCThuNhap_06203!C4),",","'Format':'string'",",'Value':'",SUBSTITUTE(BCThuNhap_06203!C4,"'","\'"),"','TargetCode':''}")</f>
        <v>{'SheetId':'471cb1af-a389-4255-b9dd-016a7d1c6972','UId':'00bea7d7-311e-426d-8b86-0cffdb25a98c','Col':3,'Row':4,'Format':'string','Value':'','TargetCode':''}</v>
      </c>
    </row>
    <row r="7" spans="1:1">
      <c r="A7" t="str">
        <f>CONCATENATE("{'SheetId':'471cb1af-a389-4255-b9dd-016a7d1c6972'",",","'UId':'40d1fbb9-33fd-45ce-811f-f2fbfa9ac354'",",'Col':",COLUMN(BCThuNhap_06203!D4),",'Row':",ROW(BCThuNhap_06203!D4),",","'Format':'numberic'",",'Value':'",SUBSTITUTE(BCThuNhap_06203!D4,"'","\'"),"','TargetCode':''}")</f>
        <v>{'SheetId':'471cb1af-a389-4255-b9dd-016a7d1c6972','UId':'40d1fbb9-33fd-45ce-811f-f2fbfa9ac354','Col':4,'Row':4,'Format':'numberic','Value':'0','TargetCode':''}</v>
      </c>
    </row>
    <row r="8" spans="1:1">
      <c r="A8" t="str">
        <f>CONCATENATE("{'SheetId':'471cb1af-a389-4255-b9dd-016a7d1c6972'",",","'UId':'ad1976c4-37d8-4d7a-9cd4-7b31136b73ad'",",'Col':",COLUMN(BCThuNhap_06203!E4),",'Row':",ROW(BCThuNhap_06203!E4),",","'Format':'numberic'",",'Value':'",SUBSTITUTE(BCThuNhap_06203!E4,"'","\'"),"','TargetCode':''}")</f>
        <v>{'SheetId':'471cb1af-a389-4255-b9dd-016a7d1c6972','UId':'ad1976c4-37d8-4d7a-9cd4-7b31136b73ad','Col':5,'Row':4,'Format':'numberic','Value':'0','TargetCode':''}</v>
      </c>
    </row>
    <row r="9" spans="1:1">
      <c r="A9" t="str">
        <f>CONCATENATE("{'SheetId':'471cb1af-a389-4255-b9dd-016a7d1c6972'",",","'UId':'ee9edb2c-8f95-4914-a3da-9d0d48b70256'",",'Col':",COLUMN(BCThuNhap_06203!F4),",'Row':",ROW(BCThuNhap_06203!F4),",","'Format':'numberic'",",'Value':'",SUBSTITUTE(BCThuNhap_06203!F4,"'","\'"),"','TargetCode':''}")</f>
        <v>{'SheetId':'471cb1af-a389-4255-b9dd-016a7d1c6972','UId':'ee9edb2c-8f95-4914-a3da-9d0d48b70256','Col':6,'Row':4,'Format':'numberic','Value':'0','TargetCode':''}</v>
      </c>
    </row>
    <row r="10" spans="1:1">
      <c r="A10" t="str">
        <f>CONCATENATE("{'SheetId':'471cb1af-a389-4255-b9dd-016a7d1c6972'",",","'UId':'444b91d7-87bf-4a97-a74d-a9bbd39ded58'",",'Col':",COLUMN(BCThuNhap_06203!G4),",'Row':",ROW(BCThuNhap_06203!G4),",","'Format':'numberic'",",'Value':'",SUBSTITUTE(BCThuNhap_06203!G4,"'","\'"),"','TargetCode':''}")</f>
        <v>{'SheetId':'471cb1af-a389-4255-b9dd-016a7d1c6972','UId':'444b91d7-87bf-4a97-a74d-a9bbd39ded58','Col':7,'Row':4,'Format':'numberic','Value':'0','TargetCode':''}</v>
      </c>
    </row>
    <row r="11" spans="1:1">
      <c r="A11" t="str">
        <f>CONCATENATE("{'SheetId':'471cb1af-a389-4255-b9dd-016a7d1c6972'",",","'UId':'65643be7-5d9f-42af-bf89-dc387a30825b'",",'Col':",COLUMN(BCThuNhap_06203!C5),",'Row':",ROW(BCThuNhap_06203!C5),",","'Format':'string'",",'Value':'",SUBSTITUTE(BCThuNhap_06203!C5,"'","\'"),"','TargetCode':''}")</f>
        <v>{'SheetId':'471cb1af-a389-4255-b9dd-016a7d1c6972','UId':'65643be7-5d9f-42af-bf89-dc387a30825b','Col':3,'Row':5,'Format':'string','Value':'','TargetCode':''}</v>
      </c>
    </row>
    <row r="12" spans="1:1">
      <c r="A12" t="str">
        <f>CONCATENATE("{'SheetId':'471cb1af-a389-4255-b9dd-016a7d1c6972'",",","'UId':'fcff0891-3fec-4d78-a579-e57ecf5ca712'",",'Col':",COLUMN(BCThuNhap_06203!D5),",'Row':",ROW(BCThuNhap_06203!D5),",","'Format':'numberic'",",'Value':'",SUBSTITUTE(BCThuNhap_06203!D5,"'","\'"),"','TargetCode':''}")</f>
        <v>{'SheetId':'471cb1af-a389-4255-b9dd-016a7d1c6972','UId':'fcff0891-3fec-4d78-a579-e57ecf5ca712','Col':4,'Row':5,'Format':'numberic','Value':'3372436164','TargetCode':''}</v>
      </c>
    </row>
    <row r="13" spans="1:1">
      <c r="A13" t="str">
        <f>CONCATENATE("{'SheetId':'471cb1af-a389-4255-b9dd-016a7d1c6972'",",","'UId':'de86de94-eec0-4d77-85d6-50d999fda99f'",",'Col':",COLUMN(BCThuNhap_06203!E5),",'Row':",ROW(BCThuNhap_06203!E5),",","'Format':'numberic'",",'Value':'",SUBSTITUTE(BCThuNhap_06203!E5,"'","\'"),"','TargetCode':''}")</f>
        <v>{'SheetId':'471cb1af-a389-4255-b9dd-016a7d1c6972','UId':'de86de94-eec0-4d77-85d6-50d999fda99f','Col':5,'Row':5,'Format':'numberic','Value':'3372436164','TargetCode':''}</v>
      </c>
    </row>
    <row r="14" spans="1:1">
      <c r="A14" t="str">
        <f>CONCATENATE("{'SheetId':'471cb1af-a389-4255-b9dd-016a7d1c6972'",",","'UId':'8587c2c7-f9e1-4ff8-ac4d-999900df1813'",",'Col':",COLUMN(BCThuNhap_06203!F5),",'Row':",ROW(BCThuNhap_06203!F5),",","'Format':'numberic'",",'Value':'",SUBSTITUTE(BCThuNhap_06203!F5,"'","\'"),"','TargetCode':''}")</f>
        <v>{'SheetId':'471cb1af-a389-4255-b9dd-016a7d1c6972','UId':'8587c2c7-f9e1-4ff8-ac4d-999900df1813','Col':6,'Row':5,'Format':'numberic','Value':'3759942465','TargetCode':''}</v>
      </c>
    </row>
    <row r="15" spans="1:1">
      <c r="A15" t="str">
        <f>CONCATENATE("{'SheetId':'471cb1af-a389-4255-b9dd-016a7d1c6972'",",","'UId':'16523899-72b2-4d68-bc1c-076cac2b3bca'",",'Col':",COLUMN(BCThuNhap_06203!G5),",'Row':",ROW(BCThuNhap_06203!G5),",","'Format':'numberic'",",'Value':'",SUBSTITUTE(BCThuNhap_06203!G5,"'","\'"),"','TargetCode':''}")</f>
        <v>{'SheetId':'471cb1af-a389-4255-b9dd-016a7d1c6972','UId':'16523899-72b2-4d68-bc1c-076cac2b3bca','Col':7,'Row':5,'Format':'numberic','Value':'3759942465','TargetCode':''}</v>
      </c>
    </row>
    <row r="16" spans="1:1">
      <c r="A16" t="str">
        <f>CONCATENATE("{'SheetId':'471cb1af-a389-4255-b9dd-016a7d1c6972'",",","'UId':'f071c28b-d53b-4090-bf20-125d105136b1'",",'Col':",COLUMN(BCThuNhap_06203!C6),",'Row':",ROW(BCThuNhap_06203!C6),",","'Format':'string'",",'Value':'",SUBSTITUTE(BCThuNhap_06203!C6,"'","\'"),"','TargetCode':''}")</f>
        <v>{'SheetId':'471cb1af-a389-4255-b9dd-016a7d1c6972','UId':'f071c28b-d53b-4090-bf20-125d105136b1','Col':3,'Row':6,'Format':'string','Value':'','TargetCode':''}</v>
      </c>
    </row>
    <row r="17" spans="1:1">
      <c r="A17" t="str">
        <f>CONCATENATE("{'SheetId':'471cb1af-a389-4255-b9dd-016a7d1c6972'",",","'UId':'cf1c5639-e0b5-42ca-a5d6-22c6a78274eb'",",'Col':",COLUMN(BCThuNhap_06203!D6),",'Row':",ROW(BCThuNhap_06203!D6),",","'Format':'numberic'",",'Value':'",SUBSTITUTE(BCThuNhap_06203!D6,"'","\'"),"','TargetCode':''}")</f>
        <v>{'SheetId':'471cb1af-a389-4255-b9dd-016a7d1c6972','UId':'cf1c5639-e0b5-42ca-a5d6-22c6a78274eb','Col':4,'Row':6,'Format':'numberic','Value':'2926381370','TargetCode':''}</v>
      </c>
    </row>
    <row r="18" spans="1:1">
      <c r="A18" t="str">
        <f>CONCATENATE("{'SheetId':'471cb1af-a389-4255-b9dd-016a7d1c6972'",",","'UId':'40f96a3c-2ca1-4c8b-8736-6d178def474b'",",'Col':",COLUMN(BCThuNhap_06203!E6),",'Row':",ROW(BCThuNhap_06203!E6),",","'Format':'numberic'",",'Value':'",SUBSTITUTE(BCThuNhap_06203!E6,"'","\'"),"','TargetCode':''}")</f>
        <v>{'SheetId':'471cb1af-a389-4255-b9dd-016a7d1c6972','UId':'40f96a3c-2ca1-4c8b-8736-6d178def474b','Col':5,'Row':6,'Format':'numberic','Value':'2926381370','TargetCode':''}</v>
      </c>
    </row>
    <row r="19" spans="1:1">
      <c r="A19" t="str">
        <f>CONCATENATE("{'SheetId':'471cb1af-a389-4255-b9dd-016a7d1c6972'",",","'UId':'e40ee616-be98-47ed-9eef-5047f82d9953'",",'Col':",COLUMN(BCThuNhap_06203!F6),",'Row':",ROW(BCThuNhap_06203!F6),",","'Format':'numberic'",",'Value':'",SUBSTITUTE(BCThuNhap_06203!F6,"'","\'"),"','TargetCode':''}")</f>
        <v>{'SheetId':'471cb1af-a389-4255-b9dd-016a7d1c6972','UId':'e40ee616-be98-47ed-9eef-5047f82d9953','Col':6,'Row':6,'Format':'numberic','Value':'3247969862','TargetCode':''}</v>
      </c>
    </row>
    <row r="20" spans="1:1">
      <c r="A20" t="str">
        <f>CONCATENATE("{'SheetId':'471cb1af-a389-4255-b9dd-016a7d1c6972'",",","'UId':'13a075ca-918e-4ac5-8764-1ca112b384c5'",",'Col':",COLUMN(BCThuNhap_06203!G6),",'Row':",ROW(BCThuNhap_06203!G6),",","'Format':'numberic'",",'Value':'",SUBSTITUTE(BCThuNhap_06203!G6,"'","\'"),"','TargetCode':''}")</f>
        <v>{'SheetId':'471cb1af-a389-4255-b9dd-016a7d1c6972','UId':'13a075ca-918e-4ac5-8764-1ca112b384c5','Col':7,'Row':6,'Format':'numberic','Value':'3247969862','TargetCode':''}</v>
      </c>
    </row>
    <row r="21" spans="1:1">
      <c r="A21" t="str">
        <f>CONCATENATE("{'SheetId':'471cb1af-a389-4255-b9dd-016a7d1c6972'",",","'UId':'56a50086-904c-4028-b883-90c9fe34a40f'",",'Col':",COLUMN(BCThuNhap_06203!C7),",'Row':",ROW(BCThuNhap_06203!C7),",","'Format':'string'",",'Value':'",SUBSTITUTE(BCThuNhap_06203!C7,"'","\'"),"','TargetCode':''}")</f>
        <v>{'SheetId':'471cb1af-a389-4255-b9dd-016a7d1c6972','UId':'56a50086-904c-4028-b883-90c9fe34a40f','Col':3,'Row':7,'Format':'string','Value':'','TargetCode':''}</v>
      </c>
    </row>
    <row r="22" spans="1:1">
      <c r="A22" t="str">
        <f>CONCATENATE("{'SheetId':'471cb1af-a389-4255-b9dd-016a7d1c6972'",",","'UId':'16702e7d-f552-451b-8042-8f7e46560afd'",",'Col':",COLUMN(BCThuNhap_06203!D7),",'Row':",ROW(BCThuNhap_06203!D7),",","'Format':'numberic'",",'Value':'",SUBSTITUTE(BCThuNhap_06203!D7,"'","\'"),"','TargetCode':''}")</f>
        <v>{'SheetId':'471cb1af-a389-4255-b9dd-016a7d1c6972','UId':'16702e7d-f552-451b-8042-8f7e46560afd','Col':4,'Row':7,'Format':'numberic','Value':'446054794','TargetCode':''}</v>
      </c>
    </row>
    <row r="23" spans="1:1">
      <c r="A23" t="str">
        <f>CONCATENATE("{'SheetId':'471cb1af-a389-4255-b9dd-016a7d1c6972'",",","'UId':'8a97c211-65b5-43fd-bfed-ef91033697c8'",",'Col':",COLUMN(BCThuNhap_06203!E7),",'Row':",ROW(BCThuNhap_06203!E7),",","'Format':'numberic'",",'Value':'",SUBSTITUTE(BCThuNhap_06203!E7,"'","\'"),"','TargetCode':''}")</f>
        <v>{'SheetId':'471cb1af-a389-4255-b9dd-016a7d1c6972','UId':'8a97c211-65b5-43fd-bfed-ef91033697c8','Col':5,'Row':7,'Format':'numberic','Value':'446054794','TargetCode':''}</v>
      </c>
    </row>
    <row r="24" spans="1:1">
      <c r="A24" t="str">
        <f>CONCATENATE("{'SheetId':'471cb1af-a389-4255-b9dd-016a7d1c6972'",",","'UId':'c405662e-07af-4536-92d6-564ba20dcbf1'",",'Col':",COLUMN(BCThuNhap_06203!F7),",'Row':",ROW(BCThuNhap_06203!F7),",","'Format':'numberic'",",'Value':'",SUBSTITUTE(BCThuNhap_06203!F7,"'","\'"),"','TargetCode':''}")</f>
        <v>{'SheetId':'471cb1af-a389-4255-b9dd-016a7d1c6972','UId':'c405662e-07af-4536-92d6-564ba20dcbf1','Col':6,'Row':7,'Format':'numberic','Value':'511972603','TargetCode':''}</v>
      </c>
    </row>
    <row r="25" spans="1:1">
      <c r="A25" t="str">
        <f>CONCATENATE("{'SheetId':'471cb1af-a389-4255-b9dd-016a7d1c6972'",",","'UId':'5a4b1726-2a01-402d-91ab-bf0a10fc29cc'",",'Col':",COLUMN(BCThuNhap_06203!G7),",'Row':",ROW(BCThuNhap_06203!G7),",","'Format':'numberic'",",'Value':'",SUBSTITUTE(BCThuNhap_06203!G7,"'","\'"),"','TargetCode':''}")</f>
        <v>{'SheetId':'471cb1af-a389-4255-b9dd-016a7d1c6972','UId':'5a4b1726-2a01-402d-91ab-bf0a10fc29cc','Col':7,'Row':7,'Format':'numberic','Value':'511972603','TargetCode':''}</v>
      </c>
    </row>
    <row r="26" spans="1:1">
      <c r="A26" t="str">
        <f>CONCATENATE("{'SheetId':'471cb1af-a389-4255-b9dd-016a7d1c6972'",",","'UId':'0704adfd-6a36-40cf-9fa3-f99142785a42'",",'Col':",COLUMN(BCThuNhap_06203!C8),",'Row':",ROW(BCThuNhap_06203!C8),",","'Format':'string'",",'Value':'",SUBSTITUTE(BCThuNhap_06203!C8,"'","\'"),"','TargetCode':''}")</f>
        <v>{'SheetId':'471cb1af-a389-4255-b9dd-016a7d1c6972','UId':'0704adfd-6a36-40cf-9fa3-f99142785a42','Col':3,'Row':8,'Format':'string','Value':'','TargetCode':''}</v>
      </c>
    </row>
    <row r="27" spans="1:1">
      <c r="A27" t="str">
        <f>CONCATENATE("{'SheetId':'471cb1af-a389-4255-b9dd-016a7d1c6972'",",","'UId':'dfb48018-df02-4270-8ce8-b888d5fff959'",",'Col':",COLUMN(BCThuNhap_06203!D8),",'Row':",ROW(BCThuNhap_06203!D8),",","'Format':'numberic'",",'Value':'",SUBSTITUTE(BCThuNhap_06203!D8,"'","\'"),"','TargetCode':''}")</f>
        <v>{'SheetId':'471cb1af-a389-4255-b9dd-016a7d1c6972','UId':'dfb48018-df02-4270-8ce8-b888d5fff959','Col':4,'Row':8,'Format':'numberic','Value':'0','TargetCode':''}</v>
      </c>
    </row>
    <row r="28" spans="1:1">
      <c r="A28" t="str">
        <f>CONCATENATE("{'SheetId':'471cb1af-a389-4255-b9dd-016a7d1c6972'",",","'UId':'0a1b1de5-7d3f-42d1-816e-24600e1c306f'",",'Col':",COLUMN(BCThuNhap_06203!E8),",'Row':",ROW(BCThuNhap_06203!E8),",","'Format':'numberic'",",'Value':'",SUBSTITUTE(BCThuNhap_06203!E8,"'","\'"),"','TargetCode':''}")</f>
        <v>{'SheetId':'471cb1af-a389-4255-b9dd-016a7d1c6972','UId':'0a1b1de5-7d3f-42d1-816e-24600e1c306f','Col':5,'Row':8,'Format':'numberic','Value':'0','TargetCode':''}</v>
      </c>
    </row>
    <row r="29" spans="1:1">
      <c r="A29" t="str">
        <f>CONCATENATE("{'SheetId':'471cb1af-a389-4255-b9dd-016a7d1c6972'",",","'UId':'78449dbc-0262-416c-ae9a-2cad20a8a31d'",",'Col':",COLUMN(BCThuNhap_06203!F8),",'Row':",ROW(BCThuNhap_06203!F8),",","'Format':'numberic'",",'Value':'",SUBSTITUTE(BCThuNhap_06203!F8,"'","\'"),"','TargetCode':''}")</f>
        <v>{'SheetId':'471cb1af-a389-4255-b9dd-016a7d1c6972','UId':'78449dbc-0262-416c-ae9a-2cad20a8a31d','Col':6,'Row':8,'Format':'numberic','Value':'0','TargetCode':''}</v>
      </c>
    </row>
    <row r="30" spans="1:1">
      <c r="A30" t="str">
        <f>CONCATENATE("{'SheetId':'471cb1af-a389-4255-b9dd-016a7d1c6972'",",","'UId':'1aaec8a7-4b30-4fb4-95ed-b5ac8e0e4b00'",",'Col':",COLUMN(BCThuNhap_06203!G8),",'Row':",ROW(BCThuNhap_06203!G8),",","'Format':'numberic'",",'Value':'",SUBSTITUTE(BCThuNhap_06203!G8,"'","\'"),"','TargetCode':''}")</f>
        <v>{'SheetId':'471cb1af-a389-4255-b9dd-016a7d1c6972','UId':'1aaec8a7-4b30-4fb4-95ed-b5ac8e0e4b00','Col':7,'Row':8,'Format':'numberic','Value':'0','TargetCode':''}</v>
      </c>
    </row>
    <row r="31" spans="1:1">
      <c r="A31" t="str">
        <f>CONCATENATE("{'SheetId':'471cb1af-a389-4255-b9dd-016a7d1c6972'",",","'UId':'4fcbfe51-56bd-475f-a1cb-69db332e1845'",",'Col':",COLUMN(BCThuNhap_06203!C9),",'Row':",ROW(BCThuNhap_06203!C9),",","'Format':'string'",",'Value':'",SUBSTITUTE(BCThuNhap_06203!C9,"'","\'"),"','TargetCode':''}")</f>
        <v>{'SheetId':'471cb1af-a389-4255-b9dd-016a7d1c6972','UId':'4fcbfe51-56bd-475f-a1cb-69db332e1845','Col':3,'Row':9,'Format':'string','Value':'','TargetCode':''}</v>
      </c>
    </row>
    <row r="32" spans="1:1">
      <c r="A32" t="str">
        <f>CONCATENATE("{'SheetId':'471cb1af-a389-4255-b9dd-016a7d1c6972'",",","'UId':'b8924e70-d030-4234-a836-d28fa24ce413'",",'Col':",COLUMN(BCThuNhap_06203!D9),",'Row':",ROW(BCThuNhap_06203!D9),",","'Format':'numberic'",",'Value':'",SUBSTITUTE(BCThuNhap_06203!D9,"'","\'"),"','TargetCode':''}")</f>
        <v>{'SheetId':'471cb1af-a389-4255-b9dd-016a7d1c6972','UId':'b8924e70-d030-4234-a836-d28fa24ce413','Col':4,'Row':9,'Format':'numberic','Value':'0','TargetCode':''}</v>
      </c>
    </row>
    <row r="33" spans="1:1">
      <c r="A33" t="str">
        <f>CONCATENATE("{'SheetId':'471cb1af-a389-4255-b9dd-016a7d1c6972'",",","'UId':'fa0f939c-ad55-4a32-b877-51da40386e3b'",",'Col':",COLUMN(BCThuNhap_06203!E9),",'Row':",ROW(BCThuNhap_06203!E9),",","'Format':'numberic'",",'Value':'",SUBSTITUTE(BCThuNhap_06203!E9,"'","\'"),"','TargetCode':''}")</f>
        <v>{'SheetId':'471cb1af-a389-4255-b9dd-016a7d1c6972','UId':'fa0f939c-ad55-4a32-b877-51da40386e3b','Col':5,'Row':9,'Format':'numberic','Value':'0','TargetCode':''}</v>
      </c>
    </row>
    <row r="34" spans="1:1">
      <c r="A34" t="str">
        <f>CONCATENATE("{'SheetId':'471cb1af-a389-4255-b9dd-016a7d1c6972'",",","'UId':'6081713b-7e0d-419f-874e-9c24b30d259e'",",'Col':",COLUMN(BCThuNhap_06203!F9),",'Row':",ROW(BCThuNhap_06203!F9),",","'Format':'numberic'",",'Value':'",SUBSTITUTE(BCThuNhap_06203!F9,"'","\'"),"','TargetCode':''}")</f>
        <v>{'SheetId':'471cb1af-a389-4255-b9dd-016a7d1c6972','UId':'6081713b-7e0d-419f-874e-9c24b30d259e','Col':6,'Row':9,'Format':'numberic','Value':'0','TargetCode':''}</v>
      </c>
    </row>
    <row r="35" spans="1:1">
      <c r="A35" t="str">
        <f>CONCATENATE("{'SheetId':'471cb1af-a389-4255-b9dd-016a7d1c6972'",",","'UId':'779ccf6c-3f2a-4ad7-a977-719eb78d13c0'",",'Col':",COLUMN(BCThuNhap_06203!G9),",'Row':",ROW(BCThuNhap_06203!G9),",","'Format':'numberic'",",'Value':'",SUBSTITUTE(BCThuNhap_06203!G9,"'","\'"),"','TargetCode':''}")</f>
        <v>{'SheetId':'471cb1af-a389-4255-b9dd-016a7d1c6972','UId':'779ccf6c-3f2a-4ad7-a977-719eb78d13c0','Col':7,'Row':9,'Format':'numberic','Value':'0','TargetCode':''}</v>
      </c>
    </row>
    <row r="36" spans="1:1">
      <c r="A36" t="str">
        <f>CONCATENATE("{'SheetId':'471cb1af-a389-4255-b9dd-016a7d1c6972'",",","'UId':'c28a2787-35eb-4bfb-8d73-91a998a3194c'",",'Col':",COLUMN(BCThuNhap_06203!C10),",'Row':",ROW(BCThuNhap_06203!C10),",","'Format':'string'",",'Value':'",SUBSTITUTE(BCThuNhap_06203!C10,"'","\'"),"','TargetCode':''}")</f>
        <v>{'SheetId':'471cb1af-a389-4255-b9dd-016a7d1c6972','UId':'c28a2787-35eb-4bfb-8d73-91a998a3194c','Col':3,'Row':10,'Format':'string','Value':'','TargetCode':''}</v>
      </c>
    </row>
    <row r="37" spans="1:1">
      <c r="A37" t="str">
        <f>CONCATENATE("{'SheetId':'471cb1af-a389-4255-b9dd-016a7d1c6972'",",","'UId':'bf902ed8-0109-4674-a1cc-62592f1b92d9'",",'Col':",COLUMN(BCThuNhap_06203!D10),",'Row':",ROW(BCThuNhap_06203!D10),",","'Format':'numberic'",",'Value':'",SUBSTITUTE(BCThuNhap_06203!D10,"'","\'"),"','TargetCode':''}")</f>
        <v>{'SheetId':'471cb1af-a389-4255-b9dd-016a7d1c6972','UId':'bf902ed8-0109-4674-a1cc-62592f1b92d9','Col':4,'Row':10,'Format':'numberic','Value':'0','TargetCode':''}</v>
      </c>
    </row>
    <row r="38" spans="1:1">
      <c r="A38" t="str">
        <f>CONCATENATE("{'SheetId':'471cb1af-a389-4255-b9dd-016a7d1c6972'",",","'UId':'8ba89cf9-4c91-4da8-b892-09e4876fe985'",",'Col':",COLUMN(BCThuNhap_06203!E10),",'Row':",ROW(BCThuNhap_06203!E10),",","'Format':'numberic'",",'Value':'",SUBSTITUTE(BCThuNhap_06203!E10,"'","\'"),"','TargetCode':''}")</f>
        <v>{'SheetId':'471cb1af-a389-4255-b9dd-016a7d1c6972','UId':'8ba89cf9-4c91-4da8-b892-09e4876fe985','Col':5,'Row':10,'Format':'numberic','Value':'0','TargetCode':''}</v>
      </c>
    </row>
    <row r="39" spans="1:1">
      <c r="A39" t="str">
        <f>CONCATENATE("{'SheetId':'471cb1af-a389-4255-b9dd-016a7d1c6972'",",","'UId':'7c9bffa2-9a74-4128-9c5d-bbc98558406e'",",'Col':",COLUMN(BCThuNhap_06203!F10),",'Row':",ROW(BCThuNhap_06203!F10),",","'Format':'numberic'",",'Value':'",SUBSTITUTE(BCThuNhap_06203!F10,"'","\'"),"','TargetCode':''}")</f>
        <v>{'SheetId':'471cb1af-a389-4255-b9dd-016a7d1c6972','UId':'7c9bffa2-9a74-4128-9c5d-bbc98558406e','Col':6,'Row':10,'Format':'numberic','Value':'0','TargetCode':''}</v>
      </c>
    </row>
    <row r="40" spans="1:1">
      <c r="A40" t="str">
        <f>CONCATENATE("{'SheetId':'471cb1af-a389-4255-b9dd-016a7d1c6972'",",","'UId':'6e0f4d2a-a0c3-4f49-b576-423e4fda275c'",",'Col':",COLUMN(BCThuNhap_06203!G10),",'Row':",ROW(BCThuNhap_06203!G10),",","'Format':'numberic'",",'Value':'",SUBSTITUTE(BCThuNhap_06203!G10,"'","\'"),"','TargetCode':''}")</f>
        <v>{'SheetId':'471cb1af-a389-4255-b9dd-016a7d1c6972','UId':'6e0f4d2a-a0c3-4f49-b576-423e4fda275c','Col':7,'Row':10,'Format':'numberic','Value':'0','TargetCode':''}</v>
      </c>
    </row>
    <row r="41" spans="1:1">
      <c r="A41" t="str">
        <f>CONCATENATE("{'SheetId':'471cb1af-a389-4255-b9dd-016a7d1c6972'",",","'UId':'e6951e92-595a-438d-b407-88fcda037e29'",",'Col':",COLUMN(BCThuNhap_06203!C11),",'Row':",ROW(BCThuNhap_06203!C11),",","'Format':'string'",",'Value':'",SUBSTITUTE(BCThuNhap_06203!C11,"'","\'"),"','TargetCode':''}")</f>
        <v>{'SheetId':'471cb1af-a389-4255-b9dd-016a7d1c6972','UId':'e6951e92-595a-438d-b407-88fcda037e29','Col':3,'Row':11,'Format':'string','Value':'','TargetCode':''}</v>
      </c>
    </row>
    <row r="42" spans="1:1">
      <c r="A42" t="str">
        <f>CONCATENATE("{'SheetId':'471cb1af-a389-4255-b9dd-016a7d1c6972'",",","'UId':'68f52c9d-ed20-4157-8f0a-5565542d239d'",",'Col':",COLUMN(BCThuNhap_06203!D11),",'Row':",ROW(BCThuNhap_06203!D11),",","'Format':'numberic'",",'Value':'",SUBSTITUTE(BCThuNhap_06203!D11,"'","\'"),"','TargetCode':''}")</f>
        <v>{'SheetId':'471cb1af-a389-4255-b9dd-016a7d1c6972','UId':'68f52c9d-ed20-4157-8f0a-5565542d239d','Col':4,'Row':11,'Format':'numberic','Value':'0','TargetCode':''}</v>
      </c>
    </row>
    <row r="43" spans="1:1">
      <c r="A43" t="str">
        <f>CONCATENATE("{'SheetId':'471cb1af-a389-4255-b9dd-016a7d1c6972'",",","'UId':'931d9a25-062a-481a-bb83-b6593ce5ad0e'",",'Col':",COLUMN(BCThuNhap_06203!E11),",'Row':",ROW(BCThuNhap_06203!E11),",","'Format':'numberic'",",'Value':'",SUBSTITUTE(BCThuNhap_06203!E11,"'","\'"),"','TargetCode':''}")</f>
        <v>{'SheetId':'471cb1af-a389-4255-b9dd-016a7d1c6972','UId':'931d9a25-062a-481a-bb83-b6593ce5ad0e','Col':5,'Row':11,'Format':'numberic','Value':'0','TargetCode':''}</v>
      </c>
    </row>
    <row r="44" spans="1:1">
      <c r="A44" t="str">
        <f>CONCATENATE("{'SheetId':'471cb1af-a389-4255-b9dd-016a7d1c6972'",",","'UId':'05814b77-87f5-4969-b441-4ed481d003cf'",",'Col':",COLUMN(BCThuNhap_06203!F11),",'Row':",ROW(BCThuNhap_06203!F11),",","'Format':'numberic'",",'Value':'",SUBSTITUTE(BCThuNhap_06203!F11,"'","\'"),"','TargetCode':''}")</f>
        <v>{'SheetId':'471cb1af-a389-4255-b9dd-016a7d1c6972','UId':'05814b77-87f5-4969-b441-4ed481d003cf','Col':6,'Row':11,'Format':'numberic','Value':'0','TargetCode':''}</v>
      </c>
    </row>
    <row r="45" spans="1:1">
      <c r="A45" t="str">
        <f>CONCATENATE("{'SheetId':'471cb1af-a389-4255-b9dd-016a7d1c6972'",",","'UId':'778fdb84-1461-4af6-bb33-3c4d112c112c'",",'Col':",COLUMN(BCThuNhap_06203!G11),",'Row':",ROW(BCThuNhap_06203!G11),",","'Format':'numberic'",",'Value':'",SUBSTITUTE(BCThuNhap_06203!G11,"'","\'"),"','TargetCode':''}")</f>
        <v>{'SheetId':'471cb1af-a389-4255-b9dd-016a7d1c6972','UId':'778fdb84-1461-4af6-bb33-3c4d112c112c','Col':7,'Row':11,'Format':'numberic','Value':'0','TargetCode':''}</v>
      </c>
    </row>
    <row r="46" spans="1:1">
      <c r="A46" t="str">
        <f>CONCATENATE("{'SheetId':'471cb1af-a389-4255-b9dd-016a7d1c6972'",",","'UId':'226270c7-7754-40de-95f8-77c8669cc267'",",'Col':",COLUMN(BCThuNhap_06203!C12),",'Row':",ROW(BCThuNhap_06203!C12),",","'Format':'string'",",'Value':'",SUBSTITUTE(BCThuNhap_06203!C12,"'","\'"),"','TargetCode':''}")</f>
        <v>{'SheetId':'471cb1af-a389-4255-b9dd-016a7d1c6972','UId':'226270c7-7754-40de-95f8-77c8669cc267','Col':3,'Row':12,'Format':'string','Value':'','TargetCode':''}</v>
      </c>
    </row>
    <row r="47" spans="1:1">
      <c r="A47" t="str">
        <f>CONCATENATE("{'SheetId':'471cb1af-a389-4255-b9dd-016a7d1c6972'",",","'UId':'d26ad73b-b259-4fff-870e-af1b4efc9b4c'",",'Col':",COLUMN(BCThuNhap_06203!D12),",'Row':",ROW(BCThuNhap_06203!D12),",","'Format':'numberic'",",'Value':'",SUBSTITUTE(BCThuNhap_06203!D12,"'","\'"),"','TargetCode':''}")</f>
        <v>{'SheetId':'471cb1af-a389-4255-b9dd-016a7d1c6972','UId':'d26ad73b-b259-4fff-870e-af1b4efc9b4c','Col':4,'Row':12,'Format':'numberic','Value':'0','TargetCode':''}</v>
      </c>
    </row>
    <row r="48" spans="1:1">
      <c r="A48" t="str">
        <f>CONCATENATE("{'SheetId':'471cb1af-a389-4255-b9dd-016a7d1c6972'",",","'UId':'1b2c2bb9-fd0f-4f6a-ae5f-0ee2f0e1d4dd'",",'Col':",COLUMN(BCThuNhap_06203!E12),",'Row':",ROW(BCThuNhap_06203!E12),",","'Format':'numberic'",",'Value':'",SUBSTITUTE(BCThuNhap_06203!E12,"'","\'"),"','TargetCode':''}")</f>
        <v>{'SheetId':'471cb1af-a389-4255-b9dd-016a7d1c6972','UId':'1b2c2bb9-fd0f-4f6a-ae5f-0ee2f0e1d4dd','Col':5,'Row':12,'Format':'numberic','Value':'0','TargetCode':''}</v>
      </c>
    </row>
    <row r="49" spans="1:1">
      <c r="A49" t="str">
        <f>CONCATENATE("{'SheetId':'471cb1af-a389-4255-b9dd-016a7d1c6972'",",","'UId':'98ca5d5f-758a-4875-a29b-e407fe462d50'",",'Col':",COLUMN(BCThuNhap_06203!F12),",'Row':",ROW(BCThuNhap_06203!F12),",","'Format':'numberic'",",'Value':'",SUBSTITUTE(BCThuNhap_06203!F12,"'","\'"),"','TargetCode':''}")</f>
        <v>{'SheetId':'471cb1af-a389-4255-b9dd-016a7d1c6972','UId':'98ca5d5f-758a-4875-a29b-e407fe462d50','Col':6,'Row':12,'Format':'numberic','Value':'0','TargetCode':''}</v>
      </c>
    </row>
    <row r="50" spans="1:1">
      <c r="A50" t="str">
        <f>CONCATENATE("{'SheetId':'471cb1af-a389-4255-b9dd-016a7d1c6972'",",","'UId':'a4d388b3-6ab8-429d-9966-b7072d52ca3d'",",'Col':",COLUMN(BCThuNhap_06203!G12),",'Row':",ROW(BCThuNhap_06203!G12),",","'Format':'numberic'",",'Value':'",SUBSTITUTE(BCThuNhap_06203!G12,"'","\'"),"','TargetCode':''}")</f>
        <v>{'SheetId':'471cb1af-a389-4255-b9dd-016a7d1c6972','UId':'a4d388b3-6ab8-429d-9966-b7072d52ca3d','Col':7,'Row':12,'Format':'numberic','Value':'0','TargetCode':''}</v>
      </c>
    </row>
    <row r="51" spans="1:1">
      <c r="A51" t="str">
        <f>CONCATENATE("{'SheetId':'471cb1af-a389-4255-b9dd-016a7d1c6972'",",","'UId':'293f574f-6478-4cae-9acc-9a49a0a249fe'",",'Col':",COLUMN(BCThuNhap_06203!C13),",'Row':",ROW(BCThuNhap_06203!C13),",","'Format':'string'",",'Value':'",SUBSTITUTE(BCThuNhap_06203!C13,"'","\'"),"','TargetCode':''}")</f>
        <v>{'SheetId':'471cb1af-a389-4255-b9dd-016a7d1c6972','UId':'293f574f-6478-4cae-9acc-9a49a0a249fe','Col':3,'Row':13,'Format':'string','Value':'','TargetCode':''}</v>
      </c>
    </row>
    <row r="52" spans="1:1">
      <c r="A52" t="str">
        <f>CONCATENATE("{'SheetId':'471cb1af-a389-4255-b9dd-016a7d1c6972'",",","'UId':'12373433-143b-445b-80b8-7e2d1aba8f47'",",'Col':",COLUMN(BCThuNhap_06203!D13),",'Row':",ROW(BCThuNhap_06203!D13),",","'Format':'numberic'",",'Value':'",SUBSTITUTE(BCThuNhap_06203!D13,"'","\'"),"','TargetCode':''}")</f>
        <v>{'SheetId':'471cb1af-a389-4255-b9dd-016a7d1c6972','UId':'12373433-143b-445b-80b8-7e2d1aba8f47','Col':4,'Row':13,'Format':'numberic','Value':'0','TargetCode':''}</v>
      </c>
    </row>
    <row r="53" spans="1:1">
      <c r="A53" t="str">
        <f>CONCATENATE("{'SheetId':'471cb1af-a389-4255-b9dd-016a7d1c6972'",",","'UId':'eb3713bf-fc27-48aa-84e5-3b22f691ec58'",",'Col':",COLUMN(BCThuNhap_06203!E13),",'Row':",ROW(BCThuNhap_06203!E13),",","'Format':'numberic'",",'Value':'",SUBSTITUTE(BCThuNhap_06203!E13,"'","\'"),"','TargetCode':''}")</f>
        <v>{'SheetId':'471cb1af-a389-4255-b9dd-016a7d1c6972','UId':'eb3713bf-fc27-48aa-84e5-3b22f691ec58','Col':5,'Row':13,'Format':'numberic','Value':'0','TargetCode':''}</v>
      </c>
    </row>
    <row r="54" spans="1:1">
      <c r="A54" t="str">
        <f>CONCATENATE("{'SheetId':'471cb1af-a389-4255-b9dd-016a7d1c6972'",",","'UId':'f1035bf2-649e-43ce-a420-3a4865026239'",",'Col':",COLUMN(BCThuNhap_06203!F13),",'Row':",ROW(BCThuNhap_06203!F13),",","'Format':'numberic'",",'Value':'",SUBSTITUTE(BCThuNhap_06203!F13,"'","\'"),"','TargetCode':''}")</f>
        <v>{'SheetId':'471cb1af-a389-4255-b9dd-016a7d1c6972','UId':'f1035bf2-649e-43ce-a420-3a4865026239','Col':6,'Row':13,'Format':'numberic','Value':'0','TargetCode':''}</v>
      </c>
    </row>
    <row r="55" spans="1:1">
      <c r="A55" t="str">
        <f>CONCATENATE("{'SheetId':'471cb1af-a389-4255-b9dd-016a7d1c6972'",",","'UId':'8f180994-f336-46dd-9c04-02c6c48496ac'",",'Col':",COLUMN(BCThuNhap_06203!G13),",'Row':",ROW(BCThuNhap_06203!G13),",","'Format':'numberic'",",'Value':'",SUBSTITUTE(BCThuNhap_06203!G13,"'","\'"),"','TargetCode':''}")</f>
        <v>{'SheetId':'471cb1af-a389-4255-b9dd-016a7d1c6972','UId':'8f180994-f336-46dd-9c04-02c6c48496ac','Col':7,'Row':13,'Format':'numberic','Value':'0','TargetCode':''}</v>
      </c>
    </row>
    <row r="56" spans="1:1">
      <c r="A56" t="str">
        <f>CONCATENATE("{'SheetId':'471cb1af-a389-4255-b9dd-016a7d1c6972'",",","'UId':'79024f93-3d7d-4de5-990a-280127663ceb'",",'Col':",COLUMN(BCThuNhap_06203!C14),",'Row':",ROW(BCThuNhap_06203!C14),",","'Format':'string'",",'Value':'",SUBSTITUTE(BCThuNhap_06203!C14,"'","\'"),"','TargetCode':''}")</f>
        <v>{'SheetId':'471cb1af-a389-4255-b9dd-016a7d1c6972','UId':'79024f93-3d7d-4de5-990a-280127663ceb','Col':3,'Row':14,'Format':'string','Value':'','TargetCode':''}</v>
      </c>
    </row>
    <row r="57" spans="1:1">
      <c r="A57" t="str">
        <f>CONCATENATE("{'SheetId':'471cb1af-a389-4255-b9dd-016a7d1c6972'",",","'UId':'54e90757-9d8a-4f05-adea-9f245c42276c'",",'Col':",COLUMN(BCThuNhap_06203!D14),",'Row':",ROW(BCThuNhap_06203!D14),",","'Format':'numberic'",",'Value':'",SUBSTITUTE(BCThuNhap_06203!D14,"'","\'"),"','TargetCode':''}")</f>
        <v>{'SheetId':'471cb1af-a389-4255-b9dd-016a7d1c6972','UId':'54e90757-9d8a-4f05-adea-9f245c42276c','Col':4,'Row':14,'Format':'numberic','Value':'0','TargetCode':''}</v>
      </c>
    </row>
    <row r="58" spans="1:1">
      <c r="A58" t="str">
        <f>CONCATENATE("{'SheetId':'471cb1af-a389-4255-b9dd-016a7d1c6972'",",","'UId':'3fff2dcd-7ca7-426f-bf5d-8241d3c67385'",",'Col':",COLUMN(BCThuNhap_06203!E14),",'Row':",ROW(BCThuNhap_06203!E14),",","'Format':'numberic'",",'Value':'",SUBSTITUTE(BCThuNhap_06203!E14,"'","\'"),"','TargetCode':''}")</f>
        <v>{'SheetId':'471cb1af-a389-4255-b9dd-016a7d1c6972','UId':'3fff2dcd-7ca7-426f-bf5d-8241d3c67385','Col':5,'Row':14,'Format':'numberic','Value':'0','TargetCode':''}</v>
      </c>
    </row>
    <row r="59" spans="1:1">
      <c r="A59" t="str">
        <f>CONCATENATE("{'SheetId':'471cb1af-a389-4255-b9dd-016a7d1c6972'",",","'UId':'a8c32566-0ae4-4121-957e-997f3d3033fe'",",'Col':",COLUMN(BCThuNhap_06203!F14),",'Row':",ROW(BCThuNhap_06203!F14),",","'Format':'numberic'",",'Value':'",SUBSTITUTE(BCThuNhap_06203!F14,"'","\'"),"','TargetCode':''}")</f>
        <v>{'SheetId':'471cb1af-a389-4255-b9dd-016a7d1c6972','UId':'a8c32566-0ae4-4121-957e-997f3d3033fe','Col':6,'Row':14,'Format':'numberic','Value':'0','TargetCode':''}</v>
      </c>
    </row>
    <row r="60" spans="1:1">
      <c r="A60" t="str">
        <f>CONCATENATE("{'SheetId':'471cb1af-a389-4255-b9dd-016a7d1c6972'",",","'UId':'6ddb7db2-d8b1-4154-a7d4-223c759dfe9a'",",'Col':",COLUMN(BCThuNhap_06203!G14),",'Row':",ROW(BCThuNhap_06203!G14),",","'Format':'numberic'",",'Value':'",SUBSTITUTE(BCThuNhap_06203!G14,"'","\'"),"','TargetCode':''}")</f>
        <v>{'SheetId':'471cb1af-a389-4255-b9dd-016a7d1c6972','UId':'6ddb7db2-d8b1-4154-a7d4-223c759dfe9a','Col':7,'Row':14,'Format':'numberic','Value':'0','TargetCode':''}</v>
      </c>
    </row>
    <row r="61" spans="1:1">
      <c r="A61" t="str">
        <f>CONCATENATE("{'SheetId':'471cb1af-a389-4255-b9dd-016a7d1c6972'",",","'UId':'e1df85d0-a8f4-4765-b3fa-3c51dffc60ad'",",'Col':",COLUMN(BCThuNhap_06203!C15),",'Row':",ROW(BCThuNhap_06203!C15),",","'Format':'string'",",'Value':'",SUBSTITUTE(BCThuNhap_06203!C15,"'","\'"),"','TargetCode':''}")</f>
        <v>{'SheetId':'471cb1af-a389-4255-b9dd-016a7d1c6972','UId':'e1df85d0-a8f4-4765-b3fa-3c51dffc60ad','Col':3,'Row':15,'Format':'string','Value':'','TargetCode':''}</v>
      </c>
    </row>
    <row r="62" spans="1:1">
      <c r="A62" t="str">
        <f>CONCATENATE("{'SheetId':'471cb1af-a389-4255-b9dd-016a7d1c6972'",",","'UId':'e340976c-39b0-44b5-b2e1-1d342060ce8e'",",'Col':",COLUMN(BCThuNhap_06203!D15),",'Row':",ROW(BCThuNhap_06203!D15),",","'Format':'numberic'",",'Value':'",SUBSTITUTE(BCThuNhap_06203!D15,"'","\'"),"','TargetCode':''}")</f>
        <v>{'SheetId':'471cb1af-a389-4255-b9dd-016a7d1c6972','UId':'e340976c-39b0-44b5-b2e1-1d342060ce8e','Col':4,'Row':15,'Format':'numberic','Value':'0','TargetCode':''}</v>
      </c>
    </row>
    <row r="63" spans="1:1">
      <c r="A63" t="str">
        <f>CONCATENATE("{'SheetId':'471cb1af-a389-4255-b9dd-016a7d1c6972'",",","'UId':'87a20680-65fd-4b87-a2a8-7cba5894aba0'",",'Col':",COLUMN(BCThuNhap_06203!E15),",'Row':",ROW(BCThuNhap_06203!E15),",","'Format':'numberic'",",'Value':'",SUBSTITUTE(BCThuNhap_06203!E15,"'","\'"),"','TargetCode':''}")</f>
        <v>{'SheetId':'471cb1af-a389-4255-b9dd-016a7d1c6972','UId':'87a20680-65fd-4b87-a2a8-7cba5894aba0','Col':5,'Row':15,'Format':'numberic','Value':'0','TargetCode':''}</v>
      </c>
    </row>
    <row r="64" spans="1:1">
      <c r="A64" t="str">
        <f>CONCATENATE("{'SheetId':'471cb1af-a389-4255-b9dd-016a7d1c6972'",",","'UId':'722f9e54-40ff-4094-9bf3-2d0e2a4c6c85'",",'Col':",COLUMN(BCThuNhap_06203!F15),",'Row':",ROW(BCThuNhap_06203!F15),",","'Format':'numberic'",",'Value':'",SUBSTITUTE(BCThuNhap_06203!F15,"'","\'"),"','TargetCode':''}")</f>
        <v>{'SheetId':'471cb1af-a389-4255-b9dd-016a7d1c6972','UId':'722f9e54-40ff-4094-9bf3-2d0e2a4c6c85','Col':6,'Row':15,'Format':'numberic','Value':'0','TargetCode':''}</v>
      </c>
    </row>
    <row r="65" spans="1:1">
      <c r="A65" t="str">
        <f>CONCATENATE("{'SheetId':'471cb1af-a389-4255-b9dd-016a7d1c6972'",",","'UId':'1147c254-cbd2-4607-a9b9-997782f144d3'",",'Col':",COLUMN(BCThuNhap_06203!G15),",'Row':",ROW(BCThuNhap_06203!G15),",","'Format':'numberic'",",'Value':'",SUBSTITUTE(BCThuNhap_06203!G15,"'","\'"),"','TargetCode':''}")</f>
        <v>{'SheetId':'471cb1af-a389-4255-b9dd-016a7d1c6972','UId':'1147c254-cbd2-4607-a9b9-997782f144d3','Col':7,'Row':15,'Format':'numberic','Value':'0','TargetCode':''}</v>
      </c>
    </row>
    <row r="66" spans="1:1">
      <c r="A66" t="str">
        <f>CONCATENATE("{'SheetId':'471cb1af-a389-4255-b9dd-016a7d1c6972'",",","'UId':'5308a10e-097c-400c-9805-b2c09f08ebe4'",",'Col':",COLUMN(BCThuNhap_06203!C16),",'Row':",ROW(BCThuNhap_06203!C16),",","'Format':'string'",",'Value':'",SUBSTITUTE(BCThuNhap_06203!C16,"'","\'"),"','TargetCode':''}")</f>
        <v>{'SheetId':'471cb1af-a389-4255-b9dd-016a7d1c6972','UId':'5308a10e-097c-400c-9805-b2c09f08ebe4','Col':3,'Row':16,'Format':'string','Value':'','TargetCode':''}</v>
      </c>
    </row>
    <row r="67" spans="1:1">
      <c r="A67" t="str">
        <f>CONCATENATE("{'SheetId':'471cb1af-a389-4255-b9dd-016a7d1c6972'",",","'UId':'33fc81e1-29a2-48f4-8104-951fe6d8c9e4'",",'Col':",COLUMN(BCThuNhap_06203!D16),",'Row':",ROW(BCThuNhap_06203!D16),",","'Format':'numberic'",",'Value':'",SUBSTITUTE(BCThuNhap_06203!D16,"'","\'"),"','TargetCode':''}")</f>
        <v>{'SheetId':'471cb1af-a389-4255-b9dd-016a7d1c6972','UId':'33fc81e1-29a2-48f4-8104-951fe6d8c9e4','Col':4,'Row':16,'Format':'numberic','Value':'0','TargetCode':''}</v>
      </c>
    </row>
    <row r="68" spans="1:1">
      <c r="A68" t="str">
        <f>CONCATENATE("{'SheetId':'471cb1af-a389-4255-b9dd-016a7d1c6972'",",","'UId':'6a3646ff-ea6d-4780-9293-b466ac41e07f'",",'Col':",COLUMN(BCThuNhap_06203!E16),",'Row':",ROW(BCThuNhap_06203!E16),",","'Format':'numberic'",",'Value':'",SUBSTITUTE(BCThuNhap_06203!E16,"'","\'"),"','TargetCode':''}")</f>
        <v>{'SheetId':'471cb1af-a389-4255-b9dd-016a7d1c6972','UId':'6a3646ff-ea6d-4780-9293-b466ac41e07f','Col':5,'Row':16,'Format':'numberic','Value':'0','TargetCode':''}</v>
      </c>
    </row>
    <row r="69" spans="1:1">
      <c r="A69" t="str">
        <f>CONCATENATE("{'SheetId':'471cb1af-a389-4255-b9dd-016a7d1c6972'",",","'UId':'123c6f04-469e-4a32-9ab6-2c63e3d0e857'",",'Col':",COLUMN(BCThuNhap_06203!F16),",'Row':",ROW(BCThuNhap_06203!F16),",","'Format':'numberic'",",'Value':'",SUBSTITUTE(BCThuNhap_06203!F16,"'","\'"),"','TargetCode':''}")</f>
        <v>{'SheetId':'471cb1af-a389-4255-b9dd-016a7d1c6972','UId':'123c6f04-469e-4a32-9ab6-2c63e3d0e857','Col':6,'Row':16,'Format':'numberic','Value':'0','TargetCode':''}</v>
      </c>
    </row>
    <row r="70" spans="1:1">
      <c r="A70" t="str">
        <f>CONCATENATE("{'SheetId':'471cb1af-a389-4255-b9dd-016a7d1c6972'",",","'UId':'95d02b54-13d5-4c12-b332-f8e7f5373348'",",'Col':",COLUMN(BCThuNhap_06203!G16),",'Row':",ROW(BCThuNhap_06203!G16),",","'Format':'numberic'",",'Value':'",SUBSTITUTE(BCThuNhap_06203!G16,"'","\'"),"','TargetCode':''}")</f>
        <v>{'SheetId':'471cb1af-a389-4255-b9dd-016a7d1c6972','UId':'95d02b54-13d5-4c12-b332-f8e7f5373348','Col':7,'Row':16,'Format':'numberic','Value':'0','TargetCode':''}</v>
      </c>
    </row>
    <row r="71" spans="1:1">
      <c r="A71" t="str">
        <f>CONCATENATE("{'SheetId':'471cb1af-a389-4255-b9dd-016a7d1c6972'",",","'UId':'fad63c53-d430-49bf-bbc6-5ecc292a9fa5'",",'Col':",COLUMN(BCThuNhap_06203!C17),",'Row':",ROW(BCThuNhap_06203!C17),",","'Format':'string'",",'Value':'",SUBSTITUTE(BCThuNhap_06203!C17,"'","\'"),"','TargetCode':''}")</f>
        <v>{'SheetId':'471cb1af-a389-4255-b9dd-016a7d1c6972','UId':'fad63c53-d430-49bf-bbc6-5ecc292a9fa5','Col':3,'Row':17,'Format':'string','Value':'','TargetCode':''}</v>
      </c>
    </row>
    <row r="72" spans="1:1">
      <c r="A72" t="str">
        <f>CONCATENATE("{'SheetId':'471cb1af-a389-4255-b9dd-016a7d1c6972'",",","'UId':'21fcc0e8-7ebc-467d-83f1-ec0ee271b390'",",'Col':",COLUMN(BCThuNhap_06203!D17),",'Row':",ROW(BCThuNhap_06203!D17),",","'Format':'numberic'",",'Value':'",SUBSTITUTE(BCThuNhap_06203!D17,"'","\'"),"','TargetCode':''}")</f>
        <v>{'SheetId':'471cb1af-a389-4255-b9dd-016a7d1c6972','UId':'21fcc0e8-7ebc-467d-83f1-ec0ee271b390','Col':4,'Row':17,'Format':'numberic','Value':'0','TargetCode':''}</v>
      </c>
    </row>
    <row r="73" spans="1:1">
      <c r="A73" t="str">
        <f>CONCATENATE("{'SheetId':'471cb1af-a389-4255-b9dd-016a7d1c6972'",",","'UId':'69b6539b-dd01-4291-b5cd-85ace7b70fa4'",",'Col':",COLUMN(BCThuNhap_06203!E17),",'Row':",ROW(BCThuNhap_06203!E17),",","'Format':'numberic'",",'Value':'",SUBSTITUTE(BCThuNhap_06203!E17,"'","\'"),"','TargetCode':''}")</f>
        <v>{'SheetId':'471cb1af-a389-4255-b9dd-016a7d1c6972','UId':'69b6539b-dd01-4291-b5cd-85ace7b70fa4','Col':5,'Row':17,'Format':'numberic','Value':'0','TargetCode':''}</v>
      </c>
    </row>
    <row r="74" spans="1:1">
      <c r="A74" t="str">
        <f>CONCATENATE("{'SheetId':'471cb1af-a389-4255-b9dd-016a7d1c6972'",",","'UId':'b3a869fc-c1a8-44ac-8208-be0cf0189e9b'",",'Col':",COLUMN(BCThuNhap_06203!F17),",'Row':",ROW(BCThuNhap_06203!F17),",","'Format':'numberic'",",'Value':'",SUBSTITUTE(BCThuNhap_06203!F17,"'","\'"),"','TargetCode':''}")</f>
        <v>{'SheetId':'471cb1af-a389-4255-b9dd-016a7d1c6972','UId':'b3a869fc-c1a8-44ac-8208-be0cf0189e9b','Col':6,'Row':17,'Format':'numberic','Value':'0','TargetCode':''}</v>
      </c>
    </row>
    <row r="75" spans="1:1">
      <c r="A75" t="str">
        <f>CONCATENATE("{'SheetId':'471cb1af-a389-4255-b9dd-016a7d1c6972'",",","'UId':'87683ba9-de3a-4978-987b-2a2689e232d4'",",'Col':",COLUMN(BCThuNhap_06203!G17),",'Row':",ROW(BCThuNhap_06203!G17),",","'Format':'numberic'",",'Value':'",SUBSTITUTE(BCThuNhap_06203!G17,"'","\'"),"','TargetCode':''}")</f>
        <v>{'SheetId':'471cb1af-a389-4255-b9dd-016a7d1c6972','UId':'87683ba9-de3a-4978-987b-2a2689e232d4','Col':7,'Row':17,'Format':'numberic','Value':'0','TargetCode':''}</v>
      </c>
    </row>
    <row r="76" spans="1:1">
      <c r="A76" t="str">
        <f>CONCATENATE("{'SheetId':'471cb1af-a389-4255-b9dd-016a7d1c6972'",",","'UId':'16be286b-7452-4bbc-accb-8f7a250aca3b'",",'Col':",COLUMN(BCThuNhap_06203!C18),",'Row':",ROW(BCThuNhap_06203!C18),",","'Format':'string'",",'Value':'",SUBSTITUTE(BCThuNhap_06203!C18,"'","\'"),"','TargetCode':''}")</f>
        <v>{'SheetId':'471cb1af-a389-4255-b9dd-016a7d1c6972','UId':'16be286b-7452-4bbc-accb-8f7a250aca3b','Col':3,'Row':18,'Format':'string','Value':'','TargetCode':''}</v>
      </c>
    </row>
    <row r="77" spans="1:1">
      <c r="A77" t="str">
        <f>CONCATENATE("{'SheetId':'471cb1af-a389-4255-b9dd-016a7d1c6972'",",","'UId':'817b0dd8-15bf-4d06-bcd1-87aa61748e5c'",",'Col':",COLUMN(BCThuNhap_06203!D18),",'Row':",ROW(BCThuNhap_06203!D18),",","'Format':'numberic'",",'Value':'",SUBSTITUTE(BCThuNhap_06203!D18,"'","\'"),"','TargetCode':''}")</f>
        <v>{'SheetId':'471cb1af-a389-4255-b9dd-016a7d1c6972','UId':'817b0dd8-15bf-4d06-bcd1-87aa61748e5c','Col':4,'Row':18,'Format':'numberic','Value':'0','TargetCode':''}</v>
      </c>
    </row>
    <row r="78" spans="1:1">
      <c r="A78" t="str">
        <f>CONCATENATE("{'SheetId':'471cb1af-a389-4255-b9dd-016a7d1c6972'",",","'UId':'b78eb722-20fb-44d3-977d-abfba48c1335'",",'Col':",COLUMN(BCThuNhap_06203!E18),",'Row':",ROW(BCThuNhap_06203!E18),",","'Format':'numberic'",",'Value':'",SUBSTITUTE(BCThuNhap_06203!E18,"'","\'"),"','TargetCode':''}")</f>
        <v>{'SheetId':'471cb1af-a389-4255-b9dd-016a7d1c6972','UId':'b78eb722-20fb-44d3-977d-abfba48c1335','Col':5,'Row':18,'Format':'numberic','Value':'0','TargetCode':''}</v>
      </c>
    </row>
    <row r="79" spans="1:1">
      <c r="A79" t="str">
        <f>CONCATENATE("{'SheetId':'471cb1af-a389-4255-b9dd-016a7d1c6972'",",","'UId':'06d29b45-62f0-4fac-a8ac-c83dc9f8193b'",",'Col':",COLUMN(BCThuNhap_06203!F18),",'Row':",ROW(BCThuNhap_06203!F18),",","'Format':'numberic'",",'Value':'",SUBSTITUTE(BCThuNhap_06203!F18,"'","\'"),"','TargetCode':''}")</f>
        <v>{'SheetId':'471cb1af-a389-4255-b9dd-016a7d1c6972','UId':'06d29b45-62f0-4fac-a8ac-c83dc9f8193b','Col':6,'Row':18,'Format':'numberic','Value':'0','TargetCode':''}</v>
      </c>
    </row>
    <row r="80" spans="1:1">
      <c r="A80" t="str">
        <f>CONCATENATE("{'SheetId':'471cb1af-a389-4255-b9dd-016a7d1c6972'",",","'UId':'d8894aad-e9a9-432e-be0e-37fd6c5287e1'",",'Col':",COLUMN(BCThuNhap_06203!G18),",'Row':",ROW(BCThuNhap_06203!G18),",","'Format':'numberic'",",'Value':'",SUBSTITUTE(BCThuNhap_06203!G18,"'","\'"),"','TargetCode':''}")</f>
        <v>{'SheetId':'471cb1af-a389-4255-b9dd-016a7d1c6972','UId':'d8894aad-e9a9-432e-be0e-37fd6c5287e1','Col':7,'Row':18,'Format':'numberic','Value':'0','TargetCode':''}</v>
      </c>
    </row>
    <row r="81" spans="1:1">
      <c r="A81" t="str">
        <f>CONCATENATE("{'SheetId':'471cb1af-a389-4255-b9dd-016a7d1c6972'",",","'UId':'78c13bf4-4694-4ad4-b15f-36b9e3705bf4'",",'Col':",COLUMN(BCThuNhap_06203!C19),",'Row':",ROW(BCThuNhap_06203!C19),",","'Format':'string'",",'Value':'",SUBSTITUTE(BCThuNhap_06203!C19,"'","\'"),"','TargetCode':''}")</f>
        <v>{'SheetId':'471cb1af-a389-4255-b9dd-016a7d1c6972','UId':'78c13bf4-4694-4ad4-b15f-36b9e3705bf4','Col':3,'Row':19,'Format':'string','Value':'','TargetCode':''}</v>
      </c>
    </row>
    <row r="82" spans="1:1">
      <c r="A82" t="str">
        <f>CONCATENATE("{'SheetId':'471cb1af-a389-4255-b9dd-016a7d1c6972'",",","'UId':'41043d31-5c1a-41c2-bcaf-d2eb092cee56'",",'Col':",COLUMN(BCThuNhap_06203!D19),",'Row':",ROW(BCThuNhap_06203!D19),",","'Format':'numberic'",",'Value':'",SUBSTITUTE(BCThuNhap_06203!D19,"'","\'"),"','TargetCode':''}")</f>
        <v>{'SheetId':'471cb1af-a389-4255-b9dd-016a7d1c6972','UId':'41043d31-5c1a-41c2-bcaf-d2eb092cee56','Col':4,'Row':19,'Format':'numberic','Value':'0','TargetCode':''}</v>
      </c>
    </row>
    <row r="83" spans="1:1">
      <c r="A83" t="str">
        <f>CONCATENATE("{'SheetId':'471cb1af-a389-4255-b9dd-016a7d1c6972'",",","'UId':'f03723f5-9ce8-4410-a9a4-7f51f73f16e0'",",'Col':",COLUMN(BCThuNhap_06203!E19),",'Row':",ROW(BCThuNhap_06203!E19),",","'Format':'numberic'",",'Value':'",SUBSTITUTE(BCThuNhap_06203!E19,"'","\'"),"','TargetCode':''}")</f>
        <v>{'SheetId':'471cb1af-a389-4255-b9dd-016a7d1c6972','UId':'f03723f5-9ce8-4410-a9a4-7f51f73f16e0','Col':5,'Row':19,'Format':'numberic','Value':'0','TargetCode':''}</v>
      </c>
    </row>
    <row r="84" spans="1:1">
      <c r="A84" t="str">
        <f>CONCATENATE("{'SheetId':'471cb1af-a389-4255-b9dd-016a7d1c6972'",",","'UId':'73c25757-cfd7-4623-9e9a-9fd36291a116'",",'Col':",COLUMN(BCThuNhap_06203!F19),",'Row':",ROW(BCThuNhap_06203!F19),",","'Format':'numberic'",",'Value':'",SUBSTITUTE(BCThuNhap_06203!F19,"'","\'"),"','TargetCode':''}")</f>
        <v>{'SheetId':'471cb1af-a389-4255-b9dd-016a7d1c6972','UId':'73c25757-cfd7-4623-9e9a-9fd36291a116','Col':6,'Row':19,'Format':'numberic','Value':'0','TargetCode':''}</v>
      </c>
    </row>
    <row r="85" spans="1:1">
      <c r="A85" t="str">
        <f>CONCATENATE("{'SheetId':'471cb1af-a389-4255-b9dd-016a7d1c6972'",",","'UId':'c28a0468-96ae-4c7e-9d04-1464be70495e'",",'Col':",COLUMN(BCThuNhap_06203!G19),",'Row':",ROW(BCThuNhap_06203!G19),",","'Format':'numberic'",",'Value':'",SUBSTITUTE(BCThuNhap_06203!G19,"'","\'"),"','TargetCode':''}")</f>
        <v>{'SheetId':'471cb1af-a389-4255-b9dd-016a7d1c6972','UId':'c28a0468-96ae-4c7e-9d04-1464be70495e','Col':7,'Row':19,'Format':'numberic','Value':'0','TargetCode':''}</v>
      </c>
    </row>
    <row r="86" spans="1:1">
      <c r="A86" t="str">
        <f>CONCATENATE("{'SheetId':'471cb1af-a389-4255-b9dd-016a7d1c6972'",",","'UId':'c7c3b084-b85e-4c49-952d-6f52bb1f8155'",",'Col':",COLUMN(BCThuNhap_06203!C20),",'Row':",ROW(BCThuNhap_06203!C20),",","'Format':'string'",",'Value':'",SUBSTITUTE(BCThuNhap_06203!C20,"'","\'"),"','TargetCode':''}")</f>
        <v>{'SheetId':'471cb1af-a389-4255-b9dd-016a7d1c6972','UId':'c7c3b084-b85e-4c49-952d-6f52bb1f8155','Col':3,'Row':20,'Format':'string','Value':'','TargetCode':''}</v>
      </c>
    </row>
    <row r="87" spans="1:1">
      <c r="A87" t="str">
        <f>CONCATENATE("{'SheetId':'471cb1af-a389-4255-b9dd-016a7d1c6972'",",","'UId':'dd4d87eb-dd07-4d22-89cd-a2b0b25214c2'",",'Col':",COLUMN(BCThuNhap_06203!D20),",'Row':",ROW(BCThuNhap_06203!D20),",","'Format':'numberic'",",'Value':'",SUBSTITUTE(BCThuNhap_06203!D20,"'","\'"),"','TargetCode':''}")</f>
        <v>{'SheetId':'471cb1af-a389-4255-b9dd-016a7d1c6972','UId':'dd4d87eb-dd07-4d22-89cd-a2b0b25214c2','Col':4,'Row':20,'Format':'numberic','Value':'0','TargetCode':''}</v>
      </c>
    </row>
    <row r="88" spans="1:1">
      <c r="A88" t="str">
        <f>CONCATENATE("{'SheetId':'471cb1af-a389-4255-b9dd-016a7d1c6972'",",","'UId':'44091cd7-3541-4756-844c-32bb3e3ddb3f'",",'Col':",COLUMN(BCThuNhap_06203!E20),",'Row':",ROW(BCThuNhap_06203!E20),",","'Format':'numberic'",",'Value':'",SUBSTITUTE(BCThuNhap_06203!E20,"'","\'"),"','TargetCode':''}")</f>
        <v>{'SheetId':'471cb1af-a389-4255-b9dd-016a7d1c6972','UId':'44091cd7-3541-4756-844c-32bb3e3ddb3f','Col':5,'Row':20,'Format':'numberic','Value':'0','TargetCode':''}</v>
      </c>
    </row>
    <row r="89" spans="1:1">
      <c r="A89" t="str">
        <f>CONCATENATE("{'SheetId':'471cb1af-a389-4255-b9dd-016a7d1c6972'",",","'UId':'b618b76f-e180-4df6-a444-ed8966d651d4'",",'Col':",COLUMN(BCThuNhap_06203!F20),",'Row':",ROW(BCThuNhap_06203!F20),",","'Format':'numberic'",",'Value':'",SUBSTITUTE(BCThuNhap_06203!F20,"'","\'"),"','TargetCode':''}")</f>
        <v>{'SheetId':'471cb1af-a389-4255-b9dd-016a7d1c6972','UId':'b618b76f-e180-4df6-a444-ed8966d651d4','Col':6,'Row':20,'Format':'numberic','Value':'0','TargetCode':''}</v>
      </c>
    </row>
    <row r="90" spans="1:1">
      <c r="A90" t="str">
        <f>CONCATENATE("{'SheetId':'471cb1af-a389-4255-b9dd-016a7d1c6972'",",","'UId':'721d3a40-befb-4d16-824f-6313762c6d5f'",",'Col':",COLUMN(BCThuNhap_06203!G20),",'Row':",ROW(BCThuNhap_06203!G20),",","'Format':'numberic'",",'Value':'",SUBSTITUTE(BCThuNhap_06203!G20,"'","\'"),"','TargetCode':''}")</f>
        <v>{'SheetId':'471cb1af-a389-4255-b9dd-016a7d1c6972','UId':'721d3a40-befb-4d16-824f-6313762c6d5f','Col':7,'Row':20,'Format':'numberic','Value':'0','TargetCode':''}</v>
      </c>
    </row>
    <row r="91" spans="1:1">
      <c r="A91" t="str">
        <f>CONCATENATE("{'SheetId':'471cb1af-a389-4255-b9dd-016a7d1c6972'",",","'UId':'e312fc66-6853-435b-b2e8-233f74ec800c'",",'Col':",COLUMN(BCThuNhap_06203!C21),",'Row':",ROW(BCThuNhap_06203!C21),",","'Format':'string'",",'Value':'",SUBSTITUTE(BCThuNhap_06203!C21,"'","\'"),"','TargetCode':''}")</f>
        <v>{'SheetId':'471cb1af-a389-4255-b9dd-016a7d1c6972','UId':'e312fc66-6853-435b-b2e8-233f74ec800c','Col':3,'Row':21,'Format':'string','Value':'','TargetCode':''}</v>
      </c>
    </row>
    <row r="92" spans="1:1">
      <c r="A92" t="str">
        <f>CONCATENATE("{'SheetId':'471cb1af-a389-4255-b9dd-016a7d1c6972'",",","'UId':'21f97c9e-b667-4c06-8323-6cb04c978f27'",",'Col':",COLUMN(BCThuNhap_06203!D21),",'Row':",ROW(BCThuNhap_06203!D21),",","'Format':'numberic'",",'Value':'",SUBSTITUTE(BCThuNhap_06203!D21,"'","\'"),"','TargetCode':''}")</f>
        <v>{'SheetId':'471cb1af-a389-4255-b9dd-016a7d1c6972','UId':'21f97c9e-b667-4c06-8323-6cb04c978f27','Col':4,'Row':21,'Format':'numberic','Value':'0','TargetCode':''}</v>
      </c>
    </row>
    <row r="93" spans="1:1">
      <c r="A93" t="str">
        <f>CONCATENATE("{'SheetId':'471cb1af-a389-4255-b9dd-016a7d1c6972'",",","'UId':'1e31b9d2-da2a-4cb6-ace9-c0ccd8f9208a'",",'Col':",COLUMN(BCThuNhap_06203!E21),",'Row':",ROW(BCThuNhap_06203!E21),",","'Format':'numberic'",",'Value':'",SUBSTITUTE(BCThuNhap_06203!E21,"'","\'"),"','TargetCode':''}")</f>
        <v>{'SheetId':'471cb1af-a389-4255-b9dd-016a7d1c6972','UId':'1e31b9d2-da2a-4cb6-ace9-c0ccd8f9208a','Col':5,'Row':21,'Format':'numberic','Value':'0','TargetCode':''}</v>
      </c>
    </row>
    <row r="94" spans="1:1">
      <c r="A94" t="str">
        <f>CONCATENATE("{'SheetId':'471cb1af-a389-4255-b9dd-016a7d1c6972'",",","'UId':'8ed5adf0-e670-4409-97a0-82807f77595a'",",'Col':",COLUMN(BCThuNhap_06203!F21),",'Row':",ROW(BCThuNhap_06203!F21),",","'Format':'numberic'",",'Value':'",SUBSTITUTE(BCThuNhap_06203!F21,"'","\'"),"','TargetCode':''}")</f>
        <v>{'SheetId':'471cb1af-a389-4255-b9dd-016a7d1c6972','UId':'8ed5adf0-e670-4409-97a0-82807f77595a','Col':6,'Row':21,'Format':'numberic','Value':'0','TargetCode':''}</v>
      </c>
    </row>
    <row r="95" spans="1:1">
      <c r="A95" t="str">
        <f>CONCATENATE("{'SheetId':'471cb1af-a389-4255-b9dd-016a7d1c6972'",",","'UId':'b3497f19-ad9c-46a2-af86-093973674515'",",'Col':",COLUMN(BCThuNhap_06203!G21),",'Row':",ROW(BCThuNhap_06203!G21),",","'Format':'numberic'",",'Value':'",SUBSTITUTE(BCThuNhap_06203!G21,"'","\'"),"','TargetCode':''}")</f>
        <v>{'SheetId':'471cb1af-a389-4255-b9dd-016a7d1c6972','UId':'b3497f19-ad9c-46a2-af86-093973674515','Col':7,'Row':21,'Format':'numberic','Value':'0','TargetCode':''}</v>
      </c>
    </row>
    <row r="96" spans="1:1">
      <c r="A96" t="str">
        <f>CONCATENATE("{'SheetId':'471cb1af-a389-4255-b9dd-016a7d1c6972'",",","'UId':'ef29556b-66c1-43df-a73d-e7c5d26910da'",",'Col':",COLUMN(BCThuNhap_06203!C22),",'Row':",ROW(BCThuNhap_06203!C22),",","'Format':'string'",",'Value':'",SUBSTITUTE(BCThuNhap_06203!C22,"'","\'"),"','TargetCode':''}")</f>
        <v>{'SheetId':'471cb1af-a389-4255-b9dd-016a7d1c6972','UId':'ef29556b-66c1-43df-a73d-e7c5d26910da','Col':3,'Row':22,'Format':'string','Value':'','TargetCode':''}</v>
      </c>
    </row>
    <row r="97" spans="1:1">
      <c r="A97" t="str">
        <f>CONCATENATE("{'SheetId':'471cb1af-a389-4255-b9dd-016a7d1c6972'",",","'UId':'f0b71d81-e2dc-48c4-99a7-4cd9889b41b6'",",'Col':",COLUMN(BCThuNhap_06203!D22),",'Row':",ROW(BCThuNhap_06203!D22),",","'Format':'numberic'",",'Value':'",SUBSTITUTE(BCThuNhap_06203!D22,"'","\'"),"','TargetCode':''}")</f>
        <v>{'SheetId':'471cb1af-a389-4255-b9dd-016a7d1c6972','UId':'f0b71d81-e2dc-48c4-99a7-4cd9889b41b6','Col':4,'Row':22,'Format':'numberic','Value':'0','TargetCode':''}</v>
      </c>
    </row>
    <row r="98" spans="1:1">
      <c r="A98" t="str">
        <f>CONCATENATE("{'SheetId':'471cb1af-a389-4255-b9dd-016a7d1c6972'",",","'UId':'ea31d0f8-058a-430a-a577-82c576c92c8e'",",'Col':",COLUMN(BCThuNhap_06203!E22),",'Row':",ROW(BCThuNhap_06203!E22),",","'Format':'numberic'",",'Value':'",SUBSTITUTE(BCThuNhap_06203!E22,"'","\'"),"','TargetCode':''}")</f>
        <v>{'SheetId':'471cb1af-a389-4255-b9dd-016a7d1c6972','UId':'ea31d0f8-058a-430a-a577-82c576c92c8e','Col':5,'Row':22,'Format':'numberic','Value':'0','TargetCode':''}</v>
      </c>
    </row>
    <row r="99" spans="1:1">
      <c r="A99" t="str">
        <f>CONCATENATE("{'SheetId':'471cb1af-a389-4255-b9dd-016a7d1c6972'",",","'UId':'e64eff06-db8e-44b0-b739-6ff86c9f1797'",",'Col':",COLUMN(BCThuNhap_06203!F22),",'Row':",ROW(BCThuNhap_06203!F22),",","'Format':'numberic'",",'Value':'",SUBSTITUTE(BCThuNhap_06203!F22,"'","\'"),"','TargetCode':''}")</f>
        <v>{'SheetId':'471cb1af-a389-4255-b9dd-016a7d1c6972','UId':'e64eff06-db8e-44b0-b739-6ff86c9f1797','Col':6,'Row':22,'Format':'numberic','Value':'0','TargetCode':''}</v>
      </c>
    </row>
    <row r="100" spans="1:1">
      <c r="A100" t="str">
        <f>CONCATENATE("{'SheetId':'471cb1af-a389-4255-b9dd-016a7d1c6972'",",","'UId':'b75a4f3b-56be-4863-a2dd-eaf86c14b699'",",'Col':",COLUMN(BCThuNhap_06203!G22),",'Row':",ROW(BCThuNhap_06203!G22),",","'Format':'numberic'",",'Value':'",SUBSTITUTE(BCThuNhap_06203!G22,"'","\'"),"','TargetCode':''}")</f>
        <v>{'SheetId':'471cb1af-a389-4255-b9dd-016a7d1c6972','UId':'b75a4f3b-56be-4863-a2dd-eaf86c14b699','Col':7,'Row':22,'Format':'numberic','Value':'0','TargetCode':''}</v>
      </c>
    </row>
    <row r="101" spans="1:1">
      <c r="A101" t="str">
        <f>CONCATENATE("{'SheetId':'471cb1af-a389-4255-b9dd-016a7d1c6972'",",","'UId':'3468575f-d8b7-4be2-b237-7331abfb8219'",",'Col':",COLUMN(BCThuNhap_06203!C23),",'Row':",ROW(BCThuNhap_06203!C23),",","'Format':'string'",",'Value':'",SUBSTITUTE(BCThuNhap_06203!C23,"'","\'"),"','TargetCode':''}")</f>
        <v>{'SheetId':'471cb1af-a389-4255-b9dd-016a7d1c6972','UId':'3468575f-d8b7-4be2-b237-7331abfb8219','Col':3,'Row':23,'Format':'string','Value':'','TargetCode':''}</v>
      </c>
    </row>
    <row r="102" spans="1:1">
      <c r="A102" t="str">
        <f>CONCATENATE("{'SheetId':'471cb1af-a389-4255-b9dd-016a7d1c6972'",",","'UId':'9efffba9-27e1-4782-a5c6-11cf82d86ff4'",",'Col':",COLUMN(BCThuNhap_06203!D23),",'Row':",ROW(BCThuNhap_06203!D23),",","'Format':'numberic'",",'Value':'",SUBSTITUTE(BCThuNhap_06203!D23,"'","\'"),"','TargetCode':''}")</f>
        <v>{'SheetId':'471cb1af-a389-4255-b9dd-016a7d1c6972','UId':'9efffba9-27e1-4782-a5c6-11cf82d86ff4','Col':4,'Row':23,'Format':'numberic','Value':'0','TargetCode':''}</v>
      </c>
    </row>
    <row r="103" spans="1:1">
      <c r="A103" t="str">
        <f>CONCATENATE("{'SheetId':'471cb1af-a389-4255-b9dd-016a7d1c6972'",",","'UId':'b6e1545b-95a3-4418-b01c-8812832ac1b0'",",'Col':",COLUMN(BCThuNhap_06203!E23),",'Row':",ROW(BCThuNhap_06203!E23),",","'Format':'numberic'",",'Value':'",SUBSTITUTE(BCThuNhap_06203!E23,"'","\'"),"','TargetCode':''}")</f>
        <v>{'SheetId':'471cb1af-a389-4255-b9dd-016a7d1c6972','UId':'b6e1545b-95a3-4418-b01c-8812832ac1b0','Col':5,'Row':23,'Format':'numberic','Value':'0','TargetCode':''}</v>
      </c>
    </row>
    <row r="104" spans="1:1">
      <c r="A104" t="str">
        <f>CONCATENATE("{'SheetId':'471cb1af-a389-4255-b9dd-016a7d1c6972'",",","'UId':'ff49f849-d467-479b-b1c0-452fff10ef74'",",'Col':",COLUMN(BCThuNhap_06203!F23),",'Row':",ROW(BCThuNhap_06203!F23),",","'Format':'numberic'",",'Value':'",SUBSTITUTE(BCThuNhap_06203!F23,"'","\'"),"','TargetCode':''}")</f>
        <v>{'SheetId':'471cb1af-a389-4255-b9dd-016a7d1c6972','UId':'ff49f849-d467-479b-b1c0-452fff10ef74','Col':6,'Row':23,'Format':'numberic','Value':'0','TargetCode':''}</v>
      </c>
    </row>
    <row r="105" spans="1:1">
      <c r="A105" t="str">
        <f>CONCATENATE("{'SheetId':'471cb1af-a389-4255-b9dd-016a7d1c6972'",",","'UId':'8aee59fc-5396-49ce-84b0-283ed899d686'",",'Col':",COLUMN(BCThuNhap_06203!G23),",'Row':",ROW(BCThuNhap_06203!G23),",","'Format':'numberic'",",'Value':'",SUBSTITUTE(BCThuNhap_06203!G23,"'","\'"),"','TargetCode':''}")</f>
        <v>{'SheetId':'471cb1af-a389-4255-b9dd-016a7d1c6972','UId':'8aee59fc-5396-49ce-84b0-283ed899d686','Col':7,'Row':23,'Format':'numberic','Value':'0','TargetCode':''}</v>
      </c>
    </row>
    <row r="106" spans="1:1">
      <c r="A106" t="str">
        <f>CONCATENATE("{'SheetId':'471cb1af-a389-4255-b9dd-016a7d1c6972'",",","'UId':'52554d7b-857a-46db-94bb-579ba7c7fa77'",",'Col':",COLUMN(BCThuNhap_06203!C24),",'Row':",ROW(BCThuNhap_06203!C24),",","'Format':'string'",",'Value':'",SUBSTITUTE(BCThuNhap_06203!C24,"'","\'"),"','TargetCode':''}")</f>
        <v>{'SheetId':'471cb1af-a389-4255-b9dd-016a7d1c6972','UId':'52554d7b-857a-46db-94bb-579ba7c7fa77','Col':3,'Row':24,'Format':'string','Value':'','TargetCode':''}</v>
      </c>
    </row>
    <row r="107" spans="1:1">
      <c r="A107" t="str">
        <f>CONCATENATE("{'SheetId':'471cb1af-a389-4255-b9dd-016a7d1c6972'",",","'UId':'dfde7dd7-4465-41e0-8dfc-3d9bd7ef8df4'",",'Col':",COLUMN(BCThuNhap_06203!D24),",'Row':",ROW(BCThuNhap_06203!D24),",","'Format':'numberic'",",'Value':'",SUBSTITUTE(BCThuNhap_06203!D24,"'","\'"),"','TargetCode':''}")</f>
        <v>{'SheetId':'471cb1af-a389-4255-b9dd-016a7d1c6972','UId':'dfde7dd7-4465-41e0-8dfc-3d9bd7ef8df4','Col':4,'Row':24,'Format':'numberic','Value':'1128259398','TargetCode':''}</v>
      </c>
    </row>
    <row r="108" spans="1:1">
      <c r="A108" t="str">
        <f>CONCATENATE("{'SheetId':'471cb1af-a389-4255-b9dd-016a7d1c6972'",",","'UId':'8d607be0-46b7-4f79-b999-a6433feff755'",",'Col':",COLUMN(BCThuNhap_06203!E24),",'Row':",ROW(BCThuNhap_06203!E24),",","'Format':'numberic'",",'Value':'",SUBSTITUTE(BCThuNhap_06203!E24,"'","\'"),"','TargetCode':''}")</f>
        <v>{'SheetId':'471cb1af-a389-4255-b9dd-016a7d1c6972','UId':'8d607be0-46b7-4f79-b999-a6433feff755','Col':5,'Row':24,'Format':'numberic','Value':'1128259398','TargetCode':''}</v>
      </c>
    </row>
    <row r="109" spans="1:1">
      <c r="A109" t="str">
        <f>CONCATENATE("{'SheetId':'471cb1af-a389-4255-b9dd-016a7d1c6972'",",","'UId':'a72625a9-1c20-4c87-bd82-ad9fc7164547'",",'Col':",COLUMN(BCThuNhap_06203!F24),",'Row':",ROW(BCThuNhap_06203!F24),",","'Format':'numberic'",",'Value':'",SUBSTITUTE(BCThuNhap_06203!F24,"'","\'"),"','TargetCode':''}")</f>
        <v>{'SheetId':'471cb1af-a389-4255-b9dd-016a7d1c6972','UId':'a72625a9-1c20-4c87-bd82-ad9fc7164547','Col':6,'Row':24,'Format':'numberic','Value':'1096256419','TargetCode':''}</v>
      </c>
    </row>
    <row r="110" spans="1:1">
      <c r="A110" t="str">
        <f>CONCATENATE("{'SheetId':'471cb1af-a389-4255-b9dd-016a7d1c6972'",",","'UId':'f4af0a50-e561-45bd-88e0-0b4b996e6853'",",'Col':",COLUMN(BCThuNhap_06203!G24),",'Row':",ROW(BCThuNhap_06203!G24),",","'Format':'numberic'",",'Value':'",SUBSTITUTE(BCThuNhap_06203!G24,"'","\'"),"','TargetCode':''}")</f>
        <v>{'SheetId':'471cb1af-a389-4255-b9dd-016a7d1c6972','UId':'f4af0a50-e561-45bd-88e0-0b4b996e6853','Col':7,'Row':24,'Format':'numberic','Value':'1096256419','TargetCode':''}</v>
      </c>
    </row>
    <row r="111" spans="1:1">
      <c r="A111" t="str">
        <f>CONCATENATE("{'SheetId':'471cb1af-a389-4255-b9dd-016a7d1c6972'",",","'UId':'5e0f6abf-3765-4c76-bd32-263529206e4b'",",'Col':",COLUMN(BCThuNhap_06203!C25),",'Row':",ROW(BCThuNhap_06203!C25),",","'Format':'string'",",'Value':'",SUBSTITUTE(BCThuNhap_06203!C25,"'","\'"),"','TargetCode':''}")</f>
        <v>{'SheetId':'471cb1af-a389-4255-b9dd-016a7d1c6972','UId':'5e0f6abf-3765-4c76-bd32-263529206e4b','Col':3,'Row':25,'Format':'string','Value':'','TargetCode':''}</v>
      </c>
    </row>
    <row r="112" spans="1:1">
      <c r="A112" t="str">
        <f>CONCATENATE("{'SheetId':'471cb1af-a389-4255-b9dd-016a7d1c6972'",",","'UId':'0510158a-592c-436d-9700-d8f11e1f02a0'",",'Col':",COLUMN(BCThuNhap_06203!D25),",'Row':",ROW(BCThuNhap_06203!D25),",","'Format':'numberic'",",'Value':'",SUBSTITUTE(BCThuNhap_06203!D25,"'","\'"),"','TargetCode':''}")</f>
        <v>{'SheetId':'471cb1af-a389-4255-b9dd-016a7d1c6972','UId':'0510158a-592c-436d-9700-d8f11e1f02a0','Col':4,'Row':25,'Format':'numberic','Value':'488635221','TargetCode':''}</v>
      </c>
    </row>
    <row r="113" spans="1:1">
      <c r="A113" t="str">
        <f>CONCATENATE("{'SheetId':'471cb1af-a389-4255-b9dd-016a7d1c6972'",",","'UId':'85d77f2b-5e99-4202-b223-e24cd40bbff0'",",'Col':",COLUMN(BCThuNhap_06203!E25),",'Row':",ROW(BCThuNhap_06203!E25),",","'Format':'numberic'",",'Value':'",SUBSTITUTE(BCThuNhap_06203!E25,"'","\'"),"','TargetCode':''}")</f>
        <v>{'SheetId':'471cb1af-a389-4255-b9dd-016a7d1c6972','UId':'85d77f2b-5e99-4202-b223-e24cd40bbff0','Col':5,'Row':25,'Format':'numberic','Value':'488635221','TargetCode':''}</v>
      </c>
    </row>
    <row r="114" spans="1:1">
      <c r="A114" t="str">
        <f>CONCATENATE("{'SheetId':'471cb1af-a389-4255-b9dd-016a7d1c6972'",",","'UId':'fb81c32f-e253-402b-9cc0-1ab569e0c7b8'",",'Col':",COLUMN(BCThuNhap_06203!F25),",'Row':",ROW(BCThuNhap_06203!F25),",","'Format':'numberic'",",'Value':'",SUBSTITUTE(BCThuNhap_06203!F25,"'","\'"),"','TargetCode':''}")</f>
        <v>{'SheetId':'471cb1af-a389-4255-b9dd-016a7d1c6972','UId':'fb81c32f-e253-402b-9cc0-1ab569e0c7b8','Col':6,'Row':25,'Format':'numberic','Value':'468886350','TargetCode':''}</v>
      </c>
    </row>
    <row r="115" spans="1:1">
      <c r="A115" t="str">
        <f>CONCATENATE("{'SheetId':'471cb1af-a389-4255-b9dd-016a7d1c6972'",",","'UId':'395a68c7-850e-430f-8764-b59595c5c1d0'",",'Col':",COLUMN(BCThuNhap_06203!G25),",'Row':",ROW(BCThuNhap_06203!G25),",","'Format':'numberic'",",'Value':'",SUBSTITUTE(BCThuNhap_06203!G25,"'","\'"),"','TargetCode':''}")</f>
        <v>{'SheetId':'471cb1af-a389-4255-b9dd-016a7d1c6972','UId':'395a68c7-850e-430f-8764-b59595c5c1d0','Col':7,'Row':25,'Format':'numberic','Value':'468886350','TargetCode':''}</v>
      </c>
    </row>
    <row r="116" spans="1:1">
      <c r="A116" t="str">
        <f>CONCATENATE("{'SheetId':'471cb1af-a389-4255-b9dd-016a7d1c6972'",",","'UId':'d215e183-509a-47ac-b9d8-5a5abe9a6b59'",",'Col':",COLUMN(BCThuNhap_06203!C26),",'Row':",ROW(BCThuNhap_06203!C26),",","'Format':'string'",",'Value':'",SUBSTITUTE(BCThuNhap_06203!C26,"'","\'"),"','TargetCode':''}")</f>
        <v>{'SheetId':'471cb1af-a389-4255-b9dd-016a7d1c6972','UId':'d215e183-509a-47ac-b9d8-5a5abe9a6b59','Col':3,'Row':26,'Format':'string','Value':'','TargetCode':''}</v>
      </c>
    </row>
    <row r="117" spans="1:1">
      <c r="A117" t="str">
        <f>CONCATENATE("{'SheetId':'471cb1af-a389-4255-b9dd-016a7d1c6972'",",","'UId':'43248b63-d59f-4530-b1e1-a3c515cb7a07'",",'Col':",COLUMN(BCThuNhap_06203!D26),",'Row':",ROW(BCThuNhap_06203!D26),",","'Format':'numberic'",",'Value':'",SUBSTITUTE(BCThuNhap_06203!D26,"'","\'"),"','TargetCode':''}")</f>
        <v>{'SheetId':'471cb1af-a389-4255-b9dd-016a7d1c6972','UId':'43248b63-d59f-4530-b1e1-a3c515cb7a07','Col':4,'Row':26,'Format':'numberic','Value':'69420000','TargetCode':''}</v>
      </c>
    </row>
    <row r="118" spans="1:1">
      <c r="A118" t="str">
        <f>CONCATENATE("{'SheetId':'471cb1af-a389-4255-b9dd-016a7d1c6972'",",","'UId':'80c0b4d0-fa12-484e-889c-119930c17704'",",'Col':",COLUMN(BCThuNhap_06203!E26),",'Row':",ROW(BCThuNhap_06203!E26),",","'Format':'numberic'",",'Value':'",SUBSTITUTE(BCThuNhap_06203!E26,"'","\'"),"','TargetCode':''}")</f>
        <v>{'SheetId':'471cb1af-a389-4255-b9dd-016a7d1c6972','UId':'80c0b4d0-fa12-484e-889c-119930c17704','Col':5,'Row':26,'Format':'numberic','Value':'69420000','TargetCode':''}</v>
      </c>
    </row>
    <row r="119" spans="1:1">
      <c r="A119" t="str">
        <f>CONCATENATE("{'SheetId':'471cb1af-a389-4255-b9dd-016a7d1c6972'",",","'UId':'573e79f0-fb08-45a3-8eee-01810cb56a67'",",'Col':",COLUMN(BCThuNhap_06203!F26),",'Row':",ROW(BCThuNhap_06203!F26),",","'Format':'numberic'",",'Value':'",SUBSTITUTE(BCThuNhap_06203!F26,"'","\'"),"','TargetCode':''}")</f>
        <v>{'SheetId':'471cb1af-a389-4255-b9dd-016a7d1c6972','UId':'573e79f0-fb08-45a3-8eee-01810cb56a67','Col':6,'Row':26,'Format':'numberic','Value':'69690000','TargetCode':''}</v>
      </c>
    </row>
    <row r="120" spans="1:1">
      <c r="A120" t="str">
        <f>CONCATENATE("{'SheetId':'471cb1af-a389-4255-b9dd-016a7d1c6972'",",","'UId':'865c154a-bd91-470b-8302-ac3706577d95'",",'Col':",COLUMN(BCThuNhap_06203!G26),",'Row':",ROW(BCThuNhap_06203!G26),",","'Format':'numberic'",",'Value':'",SUBSTITUTE(BCThuNhap_06203!G26,"'","\'"),"','TargetCode':''}")</f>
        <v>{'SheetId':'471cb1af-a389-4255-b9dd-016a7d1c6972','UId':'865c154a-bd91-470b-8302-ac3706577d95','Col':7,'Row':26,'Format':'numberic','Value':'69690000','TargetCode':''}</v>
      </c>
    </row>
    <row r="121" spans="1:1">
      <c r="A121" t="str">
        <f>CONCATENATE("{'SheetId':'471cb1af-a389-4255-b9dd-016a7d1c6972'",",","'UId':'d9558ed4-d67b-4ddc-8c8b-252d65a9a8b5'",",'Col':",COLUMN(BCThuNhap_06203!C27),",'Row':",ROW(BCThuNhap_06203!C27),",","'Format':'string'",",'Value':'",SUBSTITUTE(BCThuNhap_06203!C27,"'","\'"),"','TargetCode':''}")</f>
        <v>{'SheetId':'471cb1af-a389-4255-b9dd-016a7d1c6972','UId':'d9558ed4-d67b-4ddc-8c8b-252d65a9a8b5','Col':3,'Row':27,'Format':'string','Value':'','TargetCode':''}</v>
      </c>
    </row>
    <row r="122" spans="1:1">
      <c r="A122" t="str">
        <f>CONCATENATE("{'SheetId':'471cb1af-a389-4255-b9dd-016a7d1c6972'",",","'UId':'b95a1451-3d17-4326-a897-30401dbbfd89'",",'Col':",COLUMN(BCThuNhap_06203!D27),",'Row':",ROW(BCThuNhap_06203!D27),",","'Format':'numberic'",",'Value':'",SUBSTITUTE(BCThuNhap_06203!D27,"'","\'"),"','TargetCode':''}")</f>
        <v>{'SheetId':'471cb1af-a389-4255-b9dd-016a7d1c6972','UId':'b95a1451-3d17-4326-a897-30401dbbfd89','Col':4,'Row':27,'Format':'numberic','Value':'69000000','TargetCode':''}</v>
      </c>
    </row>
    <row r="123" spans="1:1">
      <c r="A123" t="str">
        <f>CONCATENATE("{'SheetId':'471cb1af-a389-4255-b9dd-016a7d1c6972'",",","'UId':'93ae1556-92ad-467a-b0c5-62b935edda65'",",'Col':",COLUMN(BCThuNhap_06203!E27),",'Row':",ROW(BCThuNhap_06203!E27),",","'Format':'numberic'",",'Value':'",SUBSTITUTE(BCThuNhap_06203!E27,"'","\'"),"','TargetCode':''}")</f>
        <v>{'SheetId':'471cb1af-a389-4255-b9dd-016a7d1c6972','UId':'93ae1556-92ad-467a-b0c5-62b935edda65','Col':5,'Row':27,'Format':'numberic','Value':'69000000','TargetCode':''}</v>
      </c>
    </row>
    <row r="124" spans="1:1">
      <c r="A124" t="str">
        <f>CONCATENATE("{'SheetId':'471cb1af-a389-4255-b9dd-016a7d1c6972'",",","'UId':'01d09365-7fb0-4926-90f5-fc95b4cf1df4'",",'Col':",COLUMN(BCThuNhap_06203!F27),",'Row':",ROW(BCThuNhap_06203!F27),",","'Format':'numberic'",",'Value':'",SUBSTITUTE(BCThuNhap_06203!F27,"'","\'"),"','TargetCode':''}")</f>
        <v>{'SheetId':'471cb1af-a389-4255-b9dd-016a7d1c6972','UId':'01d09365-7fb0-4926-90f5-fc95b4cf1df4','Col':6,'Row':27,'Format':'numberic','Value':'69000000','TargetCode':''}</v>
      </c>
    </row>
    <row r="125" spans="1:1">
      <c r="A125" t="str">
        <f>CONCATENATE("{'SheetId':'471cb1af-a389-4255-b9dd-016a7d1c6972'",",","'UId':'06f35d7c-739d-41de-be6b-79d9211f23f1'",",'Col':",COLUMN(BCThuNhap_06203!G27),",'Row':",ROW(BCThuNhap_06203!G27),",","'Format':'numberic'",",'Value':'",SUBSTITUTE(BCThuNhap_06203!G27,"'","\'"),"','TargetCode':''}")</f>
        <v>{'SheetId':'471cb1af-a389-4255-b9dd-016a7d1c6972','UId':'06f35d7c-739d-41de-be6b-79d9211f23f1','Col':7,'Row':27,'Format':'numberic','Value':'69000000','TargetCode':''}</v>
      </c>
    </row>
    <row r="126" spans="1:1">
      <c r="A126" t="str">
        <f>CONCATENATE("{'SheetId':'471cb1af-a389-4255-b9dd-016a7d1c6972'",",","'UId':'8e45e75f-de7f-4d62-842d-a9a5ab3a849c'",",'Col':",COLUMN(BCThuNhap_06203!C28),",'Row':",ROW(BCThuNhap_06203!C28),",","'Format':'string'",",'Value':'",SUBSTITUTE(BCThuNhap_06203!C28,"'","\'"),"','TargetCode':''}")</f>
        <v>{'SheetId':'471cb1af-a389-4255-b9dd-016a7d1c6972','UId':'8e45e75f-de7f-4d62-842d-a9a5ab3a849c','Col':3,'Row':28,'Format':'string','Value':'','TargetCode':''}</v>
      </c>
    </row>
    <row r="127" spans="1:1">
      <c r="A127" t="str">
        <f>CONCATENATE("{'SheetId':'471cb1af-a389-4255-b9dd-016a7d1c6972'",",","'UId':'d0c4ca5a-c868-4ff5-877a-5c45f57de88b'",",'Col':",COLUMN(BCThuNhap_06203!D28),",'Row':",ROW(BCThuNhap_06203!D28),",","'Format':'numberic'",",'Value':'",SUBSTITUTE(BCThuNhap_06203!D28,"'","\'"),"','TargetCode':''}")</f>
        <v>{'SheetId':'471cb1af-a389-4255-b9dd-016a7d1c6972','UId':'d0c4ca5a-c868-4ff5-877a-5c45f57de88b','Col':4,'Row':28,'Format':'numberic','Value':'420000','TargetCode':''}</v>
      </c>
    </row>
    <row r="128" spans="1:1">
      <c r="A128" t="str">
        <f>CONCATENATE("{'SheetId':'471cb1af-a389-4255-b9dd-016a7d1c6972'",",","'UId':'5bd4bbcd-0eec-4c2e-b3b6-b12c76c99db4'",",'Col':",COLUMN(BCThuNhap_06203!E28),",'Row':",ROW(BCThuNhap_06203!E28),",","'Format':'numberic'",",'Value':'",SUBSTITUTE(BCThuNhap_06203!E28,"'","\'"),"','TargetCode':''}")</f>
        <v>{'SheetId':'471cb1af-a389-4255-b9dd-016a7d1c6972','UId':'5bd4bbcd-0eec-4c2e-b3b6-b12c76c99db4','Col':5,'Row':28,'Format':'numberic','Value':'420000','TargetCode':''}</v>
      </c>
    </row>
    <row r="129" spans="1:1">
      <c r="A129" t="str">
        <f>CONCATENATE("{'SheetId':'471cb1af-a389-4255-b9dd-016a7d1c6972'",",","'UId':'7837e364-6063-43ce-8aff-eaf1f2214323'",",'Col':",COLUMN(BCThuNhap_06203!F28),",'Row':",ROW(BCThuNhap_06203!F28),",","'Format':'numberic'",",'Value':'",SUBSTITUTE(BCThuNhap_06203!F28,"'","\'"),"','TargetCode':''}")</f>
        <v>{'SheetId':'471cb1af-a389-4255-b9dd-016a7d1c6972','UId':'7837e364-6063-43ce-8aff-eaf1f2214323','Col':6,'Row':28,'Format':'numberic','Value':'690000','TargetCode':''}</v>
      </c>
    </row>
    <row r="130" spans="1:1">
      <c r="A130" t="str">
        <f>CONCATENATE("{'SheetId':'471cb1af-a389-4255-b9dd-016a7d1c6972'",",","'UId':'cfa3e449-2aeb-4d67-82a2-f919eaf9a577'",",'Col':",COLUMN(BCThuNhap_06203!G28),",'Row':",ROW(BCThuNhap_06203!G28),",","'Format':'numberic'",",'Value':'",SUBSTITUTE(BCThuNhap_06203!G28,"'","\'"),"','TargetCode':''}")</f>
        <v>{'SheetId':'471cb1af-a389-4255-b9dd-016a7d1c6972','UId':'cfa3e449-2aeb-4d67-82a2-f919eaf9a577','Col':7,'Row':28,'Format':'numberic','Value':'690000','TargetCode':''}</v>
      </c>
    </row>
    <row r="131" spans="1:1">
      <c r="A131" t="str">
        <f>CONCATENATE("{'SheetId':'471cb1af-a389-4255-b9dd-016a7d1c6972'",",","'UId':'5f468082-3239-41c1-876e-25cd25bc46fd'",",'Col':",COLUMN(BCThuNhap_06203!C29),",'Row':",ROW(BCThuNhap_06203!C29),",","'Format':'string'",",'Value':'",SUBSTITUTE(BCThuNhap_06203!C29,"'","\'"),"','TargetCode':''}")</f>
        <v>{'SheetId':'471cb1af-a389-4255-b9dd-016a7d1c6972','UId':'5f468082-3239-41c1-876e-25cd25bc46fd','Col':3,'Row':29,'Format':'string','Value':'','TargetCode':''}</v>
      </c>
    </row>
    <row r="132" spans="1:1">
      <c r="A132" t="str">
        <f>CONCATENATE("{'SheetId':'471cb1af-a389-4255-b9dd-016a7d1c6972'",",","'UId':'7e365e48-758c-495f-9212-daf35ee8e743'",",'Col':",COLUMN(BCThuNhap_06203!D29),",'Row':",ROW(BCThuNhap_06203!D29),",","'Format':'numberic'",",'Value':'",SUBSTITUTE(BCThuNhap_06203!D29,"'","\'"),"','TargetCode':''}")</f>
        <v>{'SheetId':'471cb1af-a389-4255-b9dd-016a7d1c6972','UId':'7e365e48-758c-495f-9212-daf35ee8e743','Col':4,'Row':29,'Format':'numberic','Value':'0','TargetCode':''}</v>
      </c>
    </row>
    <row r="133" spans="1:1">
      <c r="A133" t="str">
        <f>CONCATENATE("{'SheetId':'471cb1af-a389-4255-b9dd-016a7d1c6972'",",","'UId':'77e4018d-8b9d-4b09-954d-c3a71e8c2242'",",'Col':",COLUMN(BCThuNhap_06203!E29),",'Row':",ROW(BCThuNhap_06203!E29),",","'Format':'numberic'",",'Value':'",SUBSTITUTE(BCThuNhap_06203!E29,"'","\'"),"','TargetCode':''}")</f>
        <v>{'SheetId':'471cb1af-a389-4255-b9dd-016a7d1c6972','UId':'77e4018d-8b9d-4b09-954d-c3a71e8c2242','Col':5,'Row':29,'Format':'numberic','Value':'0','TargetCode':''}</v>
      </c>
    </row>
    <row r="134" spans="1:1">
      <c r="A134" t="str">
        <f>CONCATENATE("{'SheetId':'471cb1af-a389-4255-b9dd-016a7d1c6972'",",","'UId':'54522454-c653-401d-bd1e-5d47cb93881b'",",'Col':",COLUMN(BCThuNhap_06203!F29),",'Row':",ROW(BCThuNhap_06203!F29),",","'Format':'numberic'",",'Value':'",SUBSTITUTE(BCThuNhap_06203!F29,"'","\'"),"','TargetCode':''}")</f>
        <v>{'SheetId':'471cb1af-a389-4255-b9dd-016a7d1c6972','UId':'54522454-c653-401d-bd1e-5d47cb93881b','Col':6,'Row':29,'Format':'numberic','Value':'0','TargetCode':''}</v>
      </c>
    </row>
    <row r="135" spans="1:1">
      <c r="A135" t="str">
        <f>CONCATENATE("{'SheetId':'471cb1af-a389-4255-b9dd-016a7d1c6972'",",","'UId':'ff8765ec-e3f6-4656-8c3c-56c0afb65395'",",'Col':",COLUMN(BCThuNhap_06203!G29),",'Row':",ROW(BCThuNhap_06203!G29),",","'Format':'numberic'",",'Value':'",SUBSTITUTE(BCThuNhap_06203!G29,"'","\'"),"','TargetCode':''}")</f>
        <v>{'SheetId':'471cb1af-a389-4255-b9dd-016a7d1c6972','UId':'ff8765ec-e3f6-4656-8c3c-56c0afb65395','Col':7,'Row':29,'Format':'numberic','Value':'0','TargetCode':''}</v>
      </c>
    </row>
    <row r="136" spans="1:1">
      <c r="A136" t="str">
        <f>CONCATENATE("{'SheetId':'471cb1af-a389-4255-b9dd-016a7d1c6972'",",","'UId':'84e93a94-5eb6-4940-8056-c520720329b1'",",'Col':",COLUMN(BCThuNhap_06203!C30),",'Row':",ROW(BCThuNhap_06203!C30),",","'Format':'string'",",'Value':'",SUBSTITUTE(BCThuNhap_06203!C30,"'","\'"),"','TargetCode':''}")</f>
        <v>{'SheetId':'471cb1af-a389-4255-b9dd-016a7d1c6972','UId':'84e93a94-5eb6-4940-8056-c520720329b1','Col':3,'Row':30,'Format':'string','Value':'','TargetCode':''}</v>
      </c>
    </row>
    <row r="137" spans="1:1">
      <c r="A137" t="str">
        <f>CONCATENATE("{'SheetId':'471cb1af-a389-4255-b9dd-016a7d1c6972'",",","'UId':'efb1968f-a0f2-4642-a44d-b1701c58b5ba'",",'Col':",COLUMN(BCThuNhap_06203!D30),",'Row':",ROW(BCThuNhap_06203!D30),",","'Format':'numberic'",",'Value':'",SUBSTITUTE(BCThuNhap_06203!D30,"'","\'"),"','TargetCode':''}")</f>
        <v>{'SheetId':'471cb1af-a389-4255-b9dd-016a7d1c6972','UId':'efb1968f-a0f2-4642-a44d-b1701c58b5ba','Col':4,'Row':30,'Format':'numberic','Value':'105600000','TargetCode':''}</v>
      </c>
    </row>
    <row r="138" spans="1:1">
      <c r="A138" t="str">
        <f>CONCATENATE("{'SheetId':'471cb1af-a389-4255-b9dd-016a7d1c6972'",",","'UId':'9a89a783-e8e9-4ecd-a024-50a89cba2144'",",'Col':",COLUMN(BCThuNhap_06203!E30),",'Row':",ROW(BCThuNhap_06203!E30),",","'Format':'numberic'",",'Value':'",SUBSTITUTE(BCThuNhap_06203!E30,"'","\'"),"','TargetCode':''}")</f>
        <v>{'SheetId':'471cb1af-a389-4255-b9dd-016a7d1c6972','UId':'9a89a783-e8e9-4ecd-a024-50a89cba2144','Col':5,'Row':30,'Format':'numberic','Value':'105600000','TargetCode':''}</v>
      </c>
    </row>
    <row r="139" spans="1:1">
      <c r="A139" t="str">
        <f>CONCATENATE("{'SheetId':'471cb1af-a389-4255-b9dd-016a7d1c6972'",",","'UId':'e5e9b955-4fda-4dd3-9143-48dd0e769728'",",'Col':",COLUMN(BCThuNhap_06203!F30),",'Row':",ROW(BCThuNhap_06203!F30),",","'Format':'numberic'",",'Value':'",SUBSTITUTE(BCThuNhap_06203!F30,"'","\'"),"','TargetCode':''}")</f>
        <v>{'SheetId':'471cb1af-a389-4255-b9dd-016a7d1c6972','UId':'e5e9b955-4fda-4dd3-9143-48dd0e769728','Col':6,'Row':30,'Format':'numberic','Value':'105600000','TargetCode':''}</v>
      </c>
    </row>
    <row r="140" spans="1:1">
      <c r="A140" t="str">
        <f>CONCATENATE("{'SheetId':'471cb1af-a389-4255-b9dd-016a7d1c6972'",",","'UId':'431a7ee6-5874-43b6-999f-d476f8f7c41d'",",'Col':",COLUMN(BCThuNhap_06203!G30),",'Row':",ROW(BCThuNhap_06203!G30),",","'Format':'numberic'",",'Value':'",SUBSTITUTE(BCThuNhap_06203!G30,"'","\'"),"','TargetCode':''}")</f>
        <v>{'SheetId':'471cb1af-a389-4255-b9dd-016a7d1c6972','UId':'431a7ee6-5874-43b6-999f-d476f8f7c41d','Col':7,'Row':30,'Format':'numberic','Value':'105600000','TargetCode':''}</v>
      </c>
    </row>
    <row r="141" spans="1:1">
      <c r="A141" t="str">
        <f>CONCATENATE("{'SheetId':'471cb1af-a389-4255-b9dd-016a7d1c6972'",",","'UId':'fded2ab1-ad6b-49dd-bfa3-c7d92c078dcb'",",'Col':",COLUMN(BCThuNhap_06203!C31),",'Row':",ROW(BCThuNhap_06203!C31),",","'Format':'string'",",'Value':'",SUBSTITUTE(BCThuNhap_06203!C31,"'","\'"),"','TargetCode':''}")</f>
        <v>{'SheetId':'471cb1af-a389-4255-b9dd-016a7d1c6972','UId':'fded2ab1-ad6b-49dd-bfa3-c7d92c078dcb','Col':3,'Row':31,'Format':'string','Value':'','TargetCode':''}</v>
      </c>
    </row>
    <row r="142" spans="1:1">
      <c r="A142" t="str">
        <f>CONCATENATE("{'SheetId':'471cb1af-a389-4255-b9dd-016a7d1c6972'",",","'UId':'0720f6e9-7bb0-405a-90b6-38964bbf6641'",",'Col':",COLUMN(BCThuNhap_06203!D31),",'Row':",ROW(BCThuNhap_06203!D31),",","'Format':'numberic'",",'Value':'",SUBSTITUTE(BCThuNhap_06203!D31,"'","\'"),"','TargetCode':''}")</f>
        <v>{'SheetId':'471cb1af-a389-4255-b9dd-016a7d1c6972','UId':'0720f6e9-7bb0-405a-90b6-38964bbf6641','Col':4,'Row':31,'Format':'numberic','Value':'213675000','TargetCode':''}</v>
      </c>
    </row>
    <row r="143" spans="1:1">
      <c r="A143" t="str">
        <f>CONCATENATE("{'SheetId':'471cb1af-a389-4255-b9dd-016a7d1c6972'",",","'UId':'e66ef84c-9ee1-46c5-be9e-03bcfea6ddd8'",",'Col':",COLUMN(BCThuNhap_06203!E31),",'Row':",ROW(BCThuNhap_06203!E31),",","'Format':'numberic'",",'Value':'",SUBSTITUTE(BCThuNhap_06203!E31,"'","\'"),"','TargetCode':''}")</f>
        <v>{'SheetId':'471cb1af-a389-4255-b9dd-016a7d1c6972','UId':'e66ef84c-9ee1-46c5-be9e-03bcfea6ddd8','Col':5,'Row':31,'Format':'numberic','Value':'213675000','TargetCode':''}</v>
      </c>
    </row>
    <row r="144" spans="1:1">
      <c r="A144" t="str">
        <f>CONCATENATE("{'SheetId':'471cb1af-a389-4255-b9dd-016a7d1c6972'",",","'UId':'b41e02a8-388d-4f89-a2cf-524fa3e79099'",",'Col':",COLUMN(BCThuNhap_06203!F31),",'Row':",ROW(BCThuNhap_06203!F31),",","'Format':'numberic'",",'Value':'",SUBSTITUTE(BCThuNhap_06203!F31,"'","\'"),"','TargetCode':''}")</f>
        <v>{'SheetId':'471cb1af-a389-4255-b9dd-016a7d1c6972','UId':'b41e02a8-388d-4f89-a2cf-524fa3e79099','Col':6,'Row':31,'Format':'numberic','Value':'194287500','TargetCode':''}</v>
      </c>
    </row>
    <row r="145" spans="1:1">
      <c r="A145" t="str">
        <f>CONCATENATE("{'SheetId':'471cb1af-a389-4255-b9dd-016a7d1c6972'",",","'UId':'f4cc6ab3-2a4b-4ba2-8b5d-38d749985112'",",'Col':",COLUMN(BCThuNhap_06203!G31),",'Row':",ROW(BCThuNhap_06203!G31),",","'Format':'numberic'",",'Value':'",SUBSTITUTE(BCThuNhap_06203!G31,"'","\'"),"','TargetCode':''}")</f>
        <v>{'SheetId':'471cb1af-a389-4255-b9dd-016a7d1c6972','UId':'f4cc6ab3-2a4b-4ba2-8b5d-38d749985112','Col':7,'Row':31,'Format':'numberic','Value':'194287500','TargetCode':''}</v>
      </c>
    </row>
    <row r="146" spans="1:1">
      <c r="A146" t="str">
        <f>CONCATENATE("{'SheetId':'471cb1af-a389-4255-b9dd-016a7d1c6972'",",","'UId':'29016fa2-555a-423f-add4-2949c8bf9473'",",'Col':",COLUMN(BCThuNhap_06203!C32),",'Row':",ROW(BCThuNhap_06203!C32),",","'Format':'string'",",'Value':'",SUBSTITUTE(BCThuNhap_06203!C32,"'","\'"),"','TargetCode':''}")</f>
        <v>{'SheetId':'471cb1af-a389-4255-b9dd-016a7d1c6972','UId':'29016fa2-555a-423f-add4-2949c8bf9473','Col':3,'Row':32,'Format':'string','Value':'','TargetCode':''}</v>
      </c>
    </row>
    <row r="147" spans="1:1">
      <c r="A147" t="str">
        <f>CONCATENATE("{'SheetId':'471cb1af-a389-4255-b9dd-016a7d1c6972'",",","'UId':'4f68404f-fe18-4406-a628-6e9497915cb1'",",'Col':",COLUMN(BCThuNhap_06203!D32),",'Row':",ROW(BCThuNhap_06203!D32),",","'Format':'numberic'",",'Value':'",SUBSTITUTE(BCThuNhap_06203!D32,"'","\'"),"','TargetCode':''}")</f>
        <v>{'SheetId':'471cb1af-a389-4255-b9dd-016a7d1c6972','UId':'4f68404f-fe18-4406-a628-6e9497915cb1','Col':4,'Row':32,'Format':'numberic','Value':'66000000','TargetCode':''}</v>
      </c>
    </row>
    <row r="148" spans="1:1">
      <c r="A148" t="str">
        <f>CONCATENATE("{'SheetId':'471cb1af-a389-4255-b9dd-016a7d1c6972'",",","'UId':'444b7044-a735-4f7b-9a93-7f7e7fcb8dfa'",",'Col':",COLUMN(BCThuNhap_06203!E32),",'Row':",ROW(BCThuNhap_06203!E32),",","'Format':'numberic'",",'Value':'",SUBSTITUTE(BCThuNhap_06203!E32,"'","\'"),"','TargetCode':''}")</f>
        <v>{'SheetId':'471cb1af-a389-4255-b9dd-016a7d1c6972','UId':'444b7044-a735-4f7b-9a93-7f7e7fcb8dfa','Col':5,'Row':32,'Format':'numberic','Value':'66000000','TargetCode':''}</v>
      </c>
    </row>
    <row r="149" spans="1:1">
      <c r="A149" t="str">
        <f>CONCATENATE("{'SheetId':'471cb1af-a389-4255-b9dd-016a7d1c6972'",",","'UId':'089d4c07-8687-4b9b-af51-2b1fdd20c944'",",'Col':",COLUMN(BCThuNhap_06203!F32),",'Row':",ROW(BCThuNhap_06203!F32),",","'Format':'numberic'",",'Value':'",SUBSTITUTE(BCThuNhap_06203!F32,"'","\'"),"','TargetCode':''}")</f>
        <v>{'SheetId':'471cb1af-a389-4255-b9dd-016a7d1c6972','UId':'089d4c07-8687-4b9b-af51-2b1fdd20c944','Col':6,'Row':32,'Format':'numberic','Value':'66000000','TargetCode':''}</v>
      </c>
    </row>
    <row r="150" spans="1:1">
      <c r="A150" t="str">
        <f>CONCATENATE("{'SheetId':'471cb1af-a389-4255-b9dd-016a7d1c6972'",",","'UId':'40ebf994-f0c7-489f-ab17-f90ae69aaeb1'",",'Col':",COLUMN(BCThuNhap_06203!G32),",'Row':",ROW(BCThuNhap_06203!G32),",","'Format':'numberic'",",'Value':'",SUBSTITUTE(BCThuNhap_06203!G32,"'","\'"),"','TargetCode':''}")</f>
        <v>{'SheetId':'471cb1af-a389-4255-b9dd-016a7d1c6972','UId':'40ebf994-f0c7-489f-ab17-f90ae69aaeb1','Col':7,'Row':32,'Format':'numberic','Value':'66000000','TargetCode':''}</v>
      </c>
    </row>
    <row r="151" spans="1:1">
      <c r="A151" t="str">
        <f>CONCATENATE("{'SheetId':'471cb1af-a389-4255-b9dd-016a7d1c6972'",",","'UId':'8ceb82d1-cdae-464a-ade8-607cebbce152'",",'Col':",COLUMN(BCThuNhap_06203!C33),",'Row':",ROW(BCThuNhap_06203!C33),",","'Format':'string'",",'Value':'",SUBSTITUTE(BCThuNhap_06203!C33,"'","\'"),"','TargetCode':''}")</f>
        <v>{'SheetId':'471cb1af-a389-4255-b9dd-016a7d1c6972','UId':'8ceb82d1-cdae-464a-ade8-607cebbce152','Col':3,'Row':33,'Format':'string','Value':'','TargetCode':''}</v>
      </c>
    </row>
    <row r="152" spans="1:1">
      <c r="A152" t="str">
        <f>CONCATENATE("{'SheetId':'471cb1af-a389-4255-b9dd-016a7d1c6972'",",","'UId':'aaca19f4-9b2d-4389-ae6d-b5609bdaeaa9'",",'Col':",COLUMN(BCThuNhap_06203!D33),",'Row':",ROW(BCThuNhap_06203!D33),",","'Format':'numberic'",",'Value':'",SUBSTITUTE(BCThuNhap_06203!D33,"'","\'"),"','TargetCode':''}")</f>
        <v>{'SheetId':'471cb1af-a389-4255-b9dd-016a7d1c6972','UId':'aaca19f4-9b2d-4389-ae6d-b5609bdaeaa9','Col':4,'Row':33,'Format':'numberic','Value':'0','TargetCode':''}</v>
      </c>
    </row>
    <row r="153" spans="1:1">
      <c r="A153" t="str">
        <f>CONCATENATE("{'SheetId':'471cb1af-a389-4255-b9dd-016a7d1c6972'",",","'UId':'fdb547c8-5822-425f-b5d8-2d370ad7b608'",",'Col':",COLUMN(BCThuNhap_06203!E33),",'Row':",ROW(BCThuNhap_06203!E33),",","'Format':'numberic'",",'Value':'",SUBSTITUTE(BCThuNhap_06203!E33,"'","\'"),"','TargetCode':''}")</f>
        <v>{'SheetId':'471cb1af-a389-4255-b9dd-016a7d1c6972','UId':'fdb547c8-5822-425f-b5d8-2d370ad7b608','Col':5,'Row':33,'Format':'numberic','Value':'0','TargetCode':''}</v>
      </c>
    </row>
    <row r="154" spans="1:1">
      <c r="A154" t="str">
        <f>CONCATENATE("{'SheetId':'471cb1af-a389-4255-b9dd-016a7d1c6972'",",","'UId':'375adf66-fa78-4014-a3ad-dba317c6b30c'",",'Col':",COLUMN(BCThuNhap_06203!F33),",'Row':",ROW(BCThuNhap_06203!F33),",","'Format':'numberic'",",'Value':'",SUBSTITUTE(BCThuNhap_06203!F33,"'","\'"),"','TargetCode':''}")</f>
        <v>{'SheetId':'471cb1af-a389-4255-b9dd-016a7d1c6972','UId':'375adf66-fa78-4014-a3ad-dba317c6b30c','Col':6,'Row':33,'Format':'numberic','Value':'0','TargetCode':''}</v>
      </c>
    </row>
    <row r="155" spans="1:1">
      <c r="A155" t="str">
        <f>CONCATENATE("{'SheetId':'471cb1af-a389-4255-b9dd-016a7d1c6972'",",","'UId':'60af2282-a5a2-43df-ab3b-1d58cc4d7cd2'",",'Col':",COLUMN(BCThuNhap_06203!G33),",'Row':",ROW(BCThuNhap_06203!G33),",","'Format':'numberic'",",'Value':'",SUBSTITUTE(BCThuNhap_06203!G33,"'","\'"),"','TargetCode':''}")</f>
        <v>{'SheetId':'471cb1af-a389-4255-b9dd-016a7d1c6972','UId':'60af2282-a5a2-43df-ab3b-1d58cc4d7cd2','Col':7,'Row':33,'Format':'numberic','Value':'0','TargetCode':''}</v>
      </c>
    </row>
    <row r="156" spans="1:1">
      <c r="A156" t="str">
        <f>CONCATENATE("{'SheetId':'471cb1af-a389-4255-b9dd-016a7d1c6972'",",","'UId':'4c6dc50b-a32e-4080-a91f-17d6d63d5cbb'",",'Col':",COLUMN(BCThuNhap_06203!C34),",'Row':",ROW(BCThuNhap_06203!C34),",","'Format':'string'",",'Value':'",SUBSTITUTE(BCThuNhap_06203!C34,"'","\'"),"','TargetCode':''}")</f>
        <v>{'SheetId':'471cb1af-a389-4255-b9dd-016a7d1c6972','UId':'4c6dc50b-a32e-4080-a91f-17d6d63d5cbb','Col':3,'Row':34,'Format':'string','Value':'','TargetCode':''}</v>
      </c>
    </row>
    <row r="157" spans="1:1">
      <c r="A157" t="str">
        <f>CONCATENATE("{'SheetId':'471cb1af-a389-4255-b9dd-016a7d1c6972'",",","'UId':'f213cfe9-3027-40dd-9b85-28b35acf59ac'",",'Col':",COLUMN(BCThuNhap_06203!D34),",'Row':",ROW(BCThuNhap_06203!D34),",","'Format':'numberic'",",'Value':'",SUBSTITUTE(BCThuNhap_06203!D34,"'","\'"),"','TargetCode':''}")</f>
        <v>{'SheetId':'471cb1af-a389-4255-b9dd-016a7d1c6972','UId':'f213cfe9-3027-40dd-9b85-28b35acf59ac','Col':4,'Row':34,'Format':'numberic','Value':'0','TargetCode':''}</v>
      </c>
    </row>
    <row r="158" spans="1:1">
      <c r="A158" t="str">
        <f>CONCATENATE("{'SheetId':'471cb1af-a389-4255-b9dd-016a7d1c6972'",",","'UId':'92dd330e-f061-4f19-a965-eaafb7aca0e7'",",'Col':",COLUMN(BCThuNhap_06203!E34),",'Row':",ROW(BCThuNhap_06203!E34),",","'Format':'numberic'",",'Value':'",SUBSTITUTE(BCThuNhap_06203!E34,"'","\'"),"','TargetCode':''}")</f>
        <v>{'SheetId':'471cb1af-a389-4255-b9dd-016a7d1c6972','UId':'92dd330e-f061-4f19-a965-eaafb7aca0e7','Col':5,'Row':34,'Format':'numberic','Value':'0','TargetCode':''}</v>
      </c>
    </row>
    <row r="159" spans="1:1">
      <c r="A159" t="str">
        <f>CONCATENATE("{'SheetId':'471cb1af-a389-4255-b9dd-016a7d1c6972'",",","'UId':'9d1654af-2318-41fa-94fc-d9317db0f581'",",'Col':",COLUMN(BCThuNhap_06203!F34),",'Row':",ROW(BCThuNhap_06203!F34),",","'Format':'numberic'",",'Value':'",SUBSTITUTE(BCThuNhap_06203!F34,"'","\'"),"','TargetCode':''}")</f>
        <v>{'SheetId':'471cb1af-a389-4255-b9dd-016a7d1c6972','UId':'9d1654af-2318-41fa-94fc-d9317db0f581','Col':6,'Row':34,'Format':'numberic','Value':'0','TargetCode':''}</v>
      </c>
    </row>
    <row r="160" spans="1:1">
      <c r="A160" t="str">
        <f>CONCATENATE("{'SheetId':'471cb1af-a389-4255-b9dd-016a7d1c6972'",",","'UId':'1bb9eb33-7f25-442a-b487-18cb65ffb1c7'",",'Col':",COLUMN(BCThuNhap_06203!G34),",'Row':",ROW(BCThuNhap_06203!G34),",","'Format':'numberic'",",'Value':'",SUBSTITUTE(BCThuNhap_06203!G34,"'","\'"),"','TargetCode':''}")</f>
        <v>{'SheetId':'471cb1af-a389-4255-b9dd-016a7d1c6972','UId':'1bb9eb33-7f25-442a-b487-18cb65ffb1c7','Col':7,'Row':34,'Format':'numberic','Value':'0','TargetCode':''}</v>
      </c>
    </row>
    <row r="161" spans="1:1">
      <c r="A161" t="str">
        <f>CONCATENATE("{'SheetId':'471cb1af-a389-4255-b9dd-016a7d1c6972'",",","'UId':'b4bbfe02-0c29-4166-9cb3-cde832e28ca4'",",'Col':",COLUMN(BCThuNhap_06203!C35),",'Row':",ROW(BCThuNhap_06203!C35),",","'Format':'string'",",'Value':'",SUBSTITUTE(BCThuNhap_06203!C35,"'","\'"),"','TargetCode':''}")</f>
        <v>{'SheetId':'471cb1af-a389-4255-b9dd-016a7d1c6972','UId':'b4bbfe02-0c29-4166-9cb3-cde832e28ca4','Col':3,'Row':35,'Format':'string','Value':'','TargetCode':''}</v>
      </c>
    </row>
    <row r="162" spans="1:1">
      <c r="A162" t="str">
        <f>CONCATENATE("{'SheetId':'471cb1af-a389-4255-b9dd-016a7d1c6972'",",","'UId':'f2da800c-d14a-485a-bf44-3d054e7f1312'",",'Col':",COLUMN(BCThuNhap_06203!D35),",'Row':",ROW(BCThuNhap_06203!D35),",","'Format':'numberic'",",'Value':'",SUBSTITUTE(BCThuNhap_06203!D35,"'","\'"),"','TargetCode':''}")</f>
        <v>{'SheetId':'471cb1af-a389-4255-b9dd-016a7d1c6972','UId':'f2da800c-d14a-485a-bf44-3d054e7f1312','Col':4,'Row':35,'Format':'numberic','Value':'0','TargetCode':''}</v>
      </c>
    </row>
    <row r="163" spans="1:1">
      <c r="A163" t="str">
        <f>CONCATENATE("{'SheetId':'471cb1af-a389-4255-b9dd-016a7d1c6972'",",","'UId':'0248eeb3-c9a5-48ea-bc60-601ca02a43f2'",",'Col':",COLUMN(BCThuNhap_06203!E35),",'Row':",ROW(BCThuNhap_06203!E35),",","'Format':'numberic'",",'Value':'",SUBSTITUTE(BCThuNhap_06203!E35,"'","\'"),"','TargetCode':''}")</f>
        <v>{'SheetId':'471cb1af-a389-4255-b9dd-016a7d1c6972','UId':'0248eeb3-c9a5-48ea-bc60-601ca02a43f2','Col':5,'Row':35,'Format':'numberic','Value':'0','TargetCode':''}</v>
      </c>
    </row>
    <row r="164" spans="1:1">
      <c r="A164" t="str">
        <f>CONCATENATE("{'SheetId':'471cb1af-a389-4255-b9dd-016a7d1c6972'",",","'UId':'4dc004c8-d1bf-4762-84cf-56d12150a09f'",",'Col':",COLUMN(BCThuNhap_06203!F35),",'Row':",ROW(BCThuNhap_06203!F35),",","'Format':'numberic'",",'Value':'",SUBSTITUTE(BCThuNhap_06203!F35,"'","\'"),"','TargetCode':''}")</f>
        <v>{'SheetId':'471cb1af-a389-4255-b9dd-016a7d1c6972','UId':'4dc004c8-d1bf-4762-84cf-56d12150a09f','Col':6,'Row':35,'Format':'numberic','Value':'0','TargetCode':''}</v>
      </c>
    </row>
    <row r="165" spans="1:1">
      <c r="A165" t="str">
        <f>CONCATENATE("{'SheetId':'471cb1af-a389-4255-b9dd-016a7d1c6972'",",","'UId':'0e7f57a8-6aee-461c-9fe5-c0762e70f0f3'",",'Col':",COLUMN(BCThuNhap_06203!G35),",'Row':",ROW(BCThuNhap_06203!G35),",","'Format':'numberic'",",'Value':'",SUBSTITUTE(BCThuNhap_06203!G35,"'","\'"),"','TargetCode':''}")</f>
        <v>{'SheetId':'471cb1af-a389-4255-b9dd-016a7d1c6972','UId':'0e7f57a8-6aee-461c-9fe5-c0762e70f0f3','Col':7,'Row':35,'Format':'numberic','Value':'0','TargetCode':''}</v>
      </c>
    </row>
    <row r="166" spans="1:1">
      <c r="A166" t="str">
        <f>CONCATENATE("{'SheetId':'471cb1af-a389-4255-b9dd-016a7d1c6972'",",","'UId':'adcff658-7cc0-4e23-a260-54c6c85af02c'",",'Col':",COLUMN(BCThuNhap_06203!C36),",'Row':",ROW(BCThuNhap_06203!C36),",","'Format':'string'",",'Value':'",SUBSTITUTE(BCThuNhap_06203!C36,"'","\'"),"','TargetCode':''}")</f>
        <v>{'SheetId':'471cb1af-a389-4255-b9dd-016a7d1c6972','UId':'adcff658-7cc0-4e23-a260-54c6c85af02c','Col':3,'Row':36,'Format':'string','Value':'','TargetCode':''}</v>
      </c>
    </row>
    <row r="167" spans="1:1">
      <c r="A167" t="str">
        <f>CONCATENATE("{'SheetId':'471cb1af-a389-4255-b9dd-016a7d1c6972'",",","'UId':'628f9fc4-40ff-4555-a77b-8261586d31df'",",'Col':",COLUMN(BCThuNhap_06203!D36),",'Row':",ROW(BCThuNhap_06203!D36),",","'Format':'numberic'",",'Value':'",SUBSTITUTE(BCThuNhap_06203!D36,"'","\'"),"','TargetCode':''}")</f>
        <v>{'SheetId':'471cb1af-a389-4255-b9dd-016a7d1c6972','UId':'628f9fc4-40ff-4555-a77b-8261586d31df','Col':4,'Row':36,'Format':'numberic','Value':'0','TargetCode':''}</v>
      </c>
    </row>
    <row r="168" spans="1:1">
      <c r="A168" t="str">
        <f>CONCATENATE("{'SheetId':'471cb1af-a389-4255-b9dd-016a7d1c6972'",",","'UId':'93957ffa-e9b6-4a3c-9bbd-4476a25a6d95'",",'Col':",COLUMN(BCThuNhap_06203!E36),",'Row':",ROW(BCThuNhap_06203!E36),",","'Format':'numberic'",",'Value':'",SUBSTITUTE(BCThuNhap_06203!E36,"'","\'"),"','TargetCode':''}")</f>
        <v>{'SheetId':'471cb1af-a389-4255-b9dd-016a7d1c6972','UId':'93957ffa-e9b6-4a3c-9bbd-4476a25a6d95','Col':5,'Row':36,'Format':'numberic','Value':'0','TargetCode':''}</v>
      </c>
    </row>
    <row r="169" spans="1:1">
      <c r="A169" t="str">
        <f>CONCATENATE("{'SheetId':'471cb1af-a389-4255-b9dd-016a7d1c6972'",",","'UId':'c378128f-ceab-47f5-9268-aaee5ea9c1e4'",",'Col':",COLUMN(BCThuNhap_06203!F36),",'Row':",ROW(BCThuNhap_06203!F36),",","'Format':'numberic'",",'Value':'",SUBSTITUTE(BCThuNhap_06203!F36,"'","\'"),"','TargetCode':''}")</f>
        <v>{'SheetId':'471cb1af-a389-4255-b9dd-016a7d1c6972','UId':'c378128f-ceab-47f5-9268-aaee5ea9c1e4','Col':6,'Row':36,'Format':'numberic','Value':'0','TargetCode':''}</v>
      </c>
    </row>
    <row r="170" spans="1:1">
      <c r="A170" t="str">
        <f>CONCATENATE("{'SheetId':'471cb1af-a389-4255-b9dd-016a7d1c6972'",",","'UId':'463138e5-5daf-4d20-9ed3-590c47f33c96'",",'Col':",COLUMN(BCThuNhap_06203!G36),",'Row':",ROW(BCThuNhap_06203!G36),",","'Format':'numberic'",",'Value':'",SUBSTITUTE(BCThuNhap_06203!G36,"'","\'"),"','TargetCode':''}")</f>
        <v>{'SheetId':'471cb1af-a389-4255-b9dd-016a7d1c6972','UId':'463138e5-5daf-4d20-9ed3-590c47f33c96','Col':7,'Row':36,'Format':'numberic','Value':'0','TargetCode':''}</v>
      </c>
    </row>
    <row r="171" spans="1:1">
      <c r="A171" t="str">
        <f>CONCATENATE("{'SheetId':'471cb1af-a389-4255-b9dd-016a7d1c6972'",",","'UId':'5193ba1d-8e4f-40b4-8047-bd38e772a26e'",",'Col':",COLUMN(BCThuNhap_06203!C37),",'Row':",ROW(BCThuNhap_06203!C37),",","'Format':'string'",",'Value':'",SUBSTITUTE(BCThuNhap_06203!C37,"'","\'"),"','TargetCode':''}")</f>
        <v>{'SheetId':'471cb1af-a389-4255-b9dd-016a7d1c6972','UId':'5193ba1d-8e4f-40b4-8047-bd38e772a26e','Col':3,'Row':37,'Format':'string','Value':'','TargetCode':''}</v>
      </c>
    </row>
    <row r="172" spans="1:1">
      <c r="A172" t="str">
        <f>CONCATENATE("{'SheetId':'471cb1af-a389-4255-b9dd-016a7d1c6972'",",","'UId':'2a086eec-6f10-4d0c-87ed-939beda15071'",",'Col':",COLUMN(BCThuNhap_06203!D37),",'Row':",ROW(BCThuNhap_06203!D37),",","'Format':'numberic'",",'Value':'",SUBSTITUTE(BCThuNhap_06203!D37,"'","\'"),"','TargetCode':''}")</f>
        <v>{'SheetId':'471cb1af-a389-4255-b9dd-016a7d1c6972','UId':'2a086eec-6f10-4d0c-87ed-939beda15071','Col':4,'Row':37,'Format':'numberic','Value':'79256823','TargetCode':''}</v>
      </c>
    </row>
    <row r="173" spans="1:1">
      <c r="A173" t="str">
        <f>CONCATENATE("{'SheetId':'471cb1af-a389-4255-b9dd-016a7d1c6972'",",","'UId':'7acb86e0-fc9a-48c5-a1c6-0a05101f0069'",",'Col':",COLUMN(BCThuNhap_06203!E37),",'Row':",ROW(BCThuNhap_06203!E37),",","'Format':'numberic'",",'Value':'",SUBSTITUTE(BCThuNhap_06203!E37,"'","\'"),"','TargetCode':''}")</f>
        <v>{'SheetId':'471cb1af-a389-4255-b9dd-016a7d1c6972','UId':'7acb86e0-fc9a-48c5-a1c6-0a05101f0069','Col':5,'Row':37,'Format':'numberic','Value':'79256823','TargetCode':''}</v>
      </c>
    </row>
    <row r="174" spans="1:1">
      <c r="A174" t="str">
        <f>CONCATENATE("{'SheetId':'471cb1af-a389-4255-b9dd-016a7d1c6972'",",","'UId':'dc093b78-cf69-4486-a226-7a713131dc9e'",",'Col':",COLUMN(BCThuNhap_06203!F37),",'Row':",ROW(BCThuNhap_06203!F37),",","'Format':'numberic'",",'Value':'",SUBSTITUTE(BCThuNhap_06203!F37,"'","\'"),"','TargetCode':''}")</f>
        <v>{'SheetId':'471cb1af-a389-4255-b9dd-016a7d1c6972','UId':'dc093b78-cf69-4486-a226-7a713131dc9e','Col':6,'Row':37,'Format':'numberic','Value':'91782441','TargetCode':''}</v>
      </c>
    </row>
    <row r="175" spans="1:1">
      <c r="A175" t="str">
        <f>CONCATENATE("{'SheetId':'471cb1af-a389-4255-b9dd-016a7d1c6972'",",","'UId':'53fff2a9-1984-4dbc-9c7b-8306cf181f9c'",",'Col':",COLUMN(BCThuNhap_06203!G37),",'Row':",ROW(BCThuNhap_06203!G37),",","'Format':'numberic'",",'Value':'",SUBSTITUTE(BCThuNhap_06203!G37,"'","\'"),"','TargetCode':''}")</f>
        <v>{'SheetId':'471cb1af-a389-4255-b9dd-016a7d1c6972','UId':'53fff2a9-1984-4dbc-9c7b-8306cf181f9c','Col':7,'Row':37,'Format':'numberic','Value':'91782441','TargetCode':''}</v>
      </c>
    </row>
    <row r="176" spans="1:1">
      <c r="A176" t="str">
        <f>CONCATENATE("{'SheetId':'5ca8c4ee-b8a7-4cfd-b34f-43f723c1d20d'",",","'UId':'fb07be56-9b59-40c3-beee-909a032a32d6'",",'Col':",COLUMN(BCTinhHinhTaiChinh_06105!C2),",'Row':",ROW(BCTinhHinhTaiChinh_06105!C2),",","'Format':'string'",",'Value':'",SUBSTITUTE(BCTinhHinhTaiChinh_06105!C2,"'","\'"),"','TargetCode':''}")</f>
        <v>{'SheetId':'5ca8c4ee-b8a7-4cfd-b34f-43f723c1d20d','UId':'fb07be56-9b59-40c3-beee-909a032a32d6','Col':3,'Row':2,'Format':'string','Value':'','TargetCode':''}</v>
      </c>
    </row>
    <row r="177" spans="1:1">
      <c r="A177" t="str">
        <f>CONCATENATE("{'SheetId':'5ca8c4ee-b8a7-4cfd-b34f-43f723c1d20d'",",","'UId':'72c81cca-8cf1-4a88-ba99-e612af4561ad'",",'Col':",COLUMN(BCTinhHinhTaiChinh_06105!D2),",'Row':",ROW(BCTinhHinhTaiChinh_06105!D2),",","'Format':'numberic'",",'Value':'",SUBSTITUTE(BCTinhHinhTaiChinh_06105!D2,"'","\'"),"','TargetCode':''}")</f>
        <v>{'SheetId':'5ca8c4ee-b8a7-4cfd-b34f-43f723c1d20d','UId':'72c81cca-8cf1-4a88-ba99-e612af4561ad','Col':4,'Row':2,'Format':'numberic','Value':'','TargetCode':''}</v>
      </c>
    </row>
    <row r="178" spans="1:1">
      <c r="A178" t="str">
        <f>CONCATENATE("{'SheetId':'5ca8c4ee-b8a7-4cfd-b34f-43f723c1d20d'",",","'UId':'5e50d46a-4b36-4ff9-9077-358d089e102d'",",'Col':",COLUMN(BCTinhHinhTaiChinh_06105!E2),",'Row':",ROW(BCTinhHinhTaiChinh_06105!E2),",","'Format':'numberic'",",'Value':'",SUBSTITUTE(BCTinhHinhTaiChinh_06105!E2,"'","\'"),"','TargetCode':''}")</f>
        <v>{'SheetId':'5ca8c4ee-b8a7-4cfd-b34f-43f723c1d20d','UId':'5e50d46a-4b36-4ff9-9077-358d089e102d','Col':5,'Row':2,'Format':'numberic','Value':'','TargetCode':''}</v>
      </c>
    </row>
    <row r="179" spans="1:1">
      <c r="A179" t="str">
        <f>CONCATENATE("{'SheetId':'5ca8c4ee-b8a7-4cfd-b34f-43f723c1d20d'",",","'UId':'053afd7a-ade3-48b1-9d5c-eae2fc7d04b6'",",'Col':",COLUMN(BCTinhHinhTaiChinh_06105!C3),",'Row':",ROW(BCTinhHinhTaiChinh_06105!C3),",","'Format':'string'",",'Value':'",SUBSTITUTE(BCTinhHinhTaiChinh_06105!C3,"'","\'"),"','TargetCode':''}")</f>
        <v>{'SheetId':'5ca8c4ee-b8a7-4cfd-b34f-43f723c1d20d','UId':'053afd7a-ade3-48b1-9d5c-eae2fc7d04b6','Col':3,'Row':3,'Format':'string','Value':'','TargetCode':''}</v>
      </c>
    </row>
    <row r="180" spans="1:1">
      <c r="A180" t="str">
        <f>CONCATENATE("{'SheetId':'5ca8c4ee-b8a7-4cfd-b34f-43f723c1d20d'",",","'UId':'ce6a181f-084a-4a33-b6a9-651185810bdc'",",'Col':",COLUMN(BCTinhHinhTaiChinh_06105!D3),",'Row':",ROW(BCTinhHinhTaiChinh_06105!D3),",","'Format':'numberic'",",'Value':'",SUBSTITUTE(BCTinhHinhTaiChinh_06105!D3,"'","\'"),"','TargetCode':''}")</f>
        <v>{'SheetId':'5ca8c4ee-b8a7-4cfd-b34f-43f723c1d20d','UId':'ce6a181f-084a-4a33-b6a9-651185810bdc','Col':4,'Row':3,'Format':'numberic','Value':'1321281100','TargetCode':''}</v>
      </c>
    </row>
    <row r="181" spans="1:1">
      <c r="A181" t="str">
        <f>CONCATENATE("{'SheetId':'5ca8c4ee-b8a7-4cfd-b34f-43f723c1d20d'",",","'UId':'1d939e59-c69a-48bf-904a-315ceeda28ea'",",'Col':",COLUMN(BCTinhHinhTaiChinh_06105!E3),",'Row':",ROW(BCTinhHinhTaiChinh_06105!E3),",","'Format':'numberic'",",'Value':'",SUBSTITUTE(BCTinhHinhTaiChinh_06105!E3,"'","\'"),"','TargetCode':''}")</f>
        <v>{'SheetId':'5ca8c4ee-b8a7-4cfd-b34f-43f723c1d20d','UId':'1d939e59-c69a-48bf-904a-315ceeda28ea','Col':5,'Row':3,'Format':'numberic','Value':'2252557622','TargetCode':''}</v>
      </c>
    </row>
    <row r="182" spans="1:1">
      <c r="A182" t="str">
        <f>CONCATENATE("{'SheetId':'5ca8c4ee-b8a7-4cfd-b34f-43f723c1d20d'",",","'UId':'98160cb6-759e-4f67-bb95-2749a31686dd'",",'Col':",COLUMN(BCTinhHinhTaiChinh_06105!C4),",'Row':",ROW(BCTinhHinhTaiChinh_06105!C4),",","'Format':'string'",",'Value':'",SUBSTITUTE(BCTinhHinhTaiChinh_06105!C4,"'","\'"),"','TargetCode':''}")</f>
        <v>{'SheetId':'5ca8c4ee-b8a7-4cfd-b34f-43f723c1d20d','UId':'98160cb6-759e-4f67-bb95-2749a31686dd','Col':3,'Row':4,'Format':'string','Value':'','TargetCode':''}</v>
      </c>
    </row>
    <row r="183" spans="1:1">
      <c r="A183" t="str">
        <f>CONCATENATE("{'SheetId':'5ca8c4ee-b8a7-4cfd-b34f-43f723c1d20d'",",","'UId':'b02ad78a-3fdd-4842-b83c-00dd3755cf07'",",'Col':",COLUMN(BCTinhHinhTaiChinh_06105!D4),",'Row':",ROW(BCTinhHinhTaiChinh_06105!D4),",","'Format':'numberic'",",'Value':'",SUBSTITUTE(BCTinhHinhTaiChinh_06105!D4,"'","\'"),"','TargetCode':''}")</f>
        <v>{'SheetId':'5ca8c4ee-b8a7-4cfd-b34f-43f723c1d20d','UId':'b02ad78a-3fdd-4842-b83c-00dd3755cf07','Col':4,'Row':4,'Format':'numberic','Value':'1321281100','TargetCode':''}</v>
      </c>
    </row>
    <row r="184" spans="1:1">
      <c r="A184" t="str">
        <f>CONCATENATE("{'SheetId':'5ca8c4ee-b8a7-4cfd-b34f-43f723c1d20d'",",","'UId':'836e99a6-b97f-484f-b6a4-45a3d3c12de4'",",'Col':",COLUMN(BCTinhHinhTaiChinh_06105!E4),",'Row':",ROW(BCTinhHinhTaiChinh_06105!E4),",","'Format':'numberic'",",'Value':'",SUBSTITUTE(BCTinhHinhTaiChinh_06105!E4,"'","\'"),"','TargetCode':''}")</f>
        <v>{'SheetId':'5ca8c4ee-b8a7-4cfd-b34f-43f723c1d20d','UId':'836e99a6-b97f-484f-b6a4-45a3d3c12de4','Col':5,'Row':4,'Format':'numberic','Value':'2252557622','TargetCode':''}</v>
      </c>
    </row>
    <row r="185" spans="1:1">
      <c r="A185" t="str">
        <f>CONCATENATE("{'SheetId':'5ca8c4ee-b8a7-4cfd-b34f-43f723c1d20d'",",","'UId':'2df7ad7e-f1a1-4080-8f7a-5538cd9074c6'",",'Col':",COLUMN(BCTinhHinhTaiChinh_06105!C5),",'Row':",ROW(BCTinhHinhTaiChinh_06105!C5),",","'Format':'string'",",'Value':'",SUBSTITUTE(BCTinhHinhTaiChinh_06105!C5,"'","\'"),"','TargetCode':''}")</f>
        <v>{'SheetId':'5ca8c4ee-b8a7-4cfd-b34f-43f723c1d20d','UId':'2df7ad7e-f1a1-4080-8f7a-5538cd9074c6','Col':3,'Row':5,'Format':'string','Value':'','TargetCode':''}</v>
      </c>
    </row>
    <row r="186" spans="1:1">
      <c r="A186" t="str">
        <f>CONCATENATE("{'SheetId':'5ca8c4ee-b8a7-4cfd-b34f-43f723c1d20d'",",","'UId':'d9875ef9-de68-42f5-997b-3ced15c6e4b1'",",'Col':",COLUMN(BCTinhHinhTaiChinh_06105!D5),",'Row':",ROW(BCTinhHinhTaiChinh_06105!D5),",","'Format':'numberic'",",'Value':'",SUBSTITUTE(BCTinhHinhTaiChinh_06105!D5,"'","\'"),"','TargetCode':''}")</f>
        <v>{'SheetId':'5ca8c4ee-b8a7-4cfd-b34f-43f723c1d20d','UId':'d9875ef9-de68-42f5-997b-3ced15c6e4b1','Col':4,'Row':5,'Format':'numberic','Value':'0','TargetCode':''}</v>
      </c>
    </row>
    <row r="187" spans="1:1">
      <c r="A187" t="str">
        <f>CONCATENATE("{'SheetId':'5ca8c4ee-b8a7-4cfd-b34f-43f723c1d20d'",",","'UId':'1dffb530-ac80-4ef8-8b5d-a01ed56e85ae'",",'Col':",COLUMN(BCTinhHinhTaiChinh_06105!E5),",'Row':",ROW(BCTinhHinhTaiChinh_06105!E5),",","'Format':'numberic'",",'Value':'",SUBSTITUTE(BCTinhHinhTaiChinh_06105!E5,"'","\'"),"','TargetCode':''}")</f>
        <v>{'SheetId':'5ca8c4ee-b8a7-4cfd-b34f-43f723c1d20d','UId':'1dffb530-ac80-4ef8-8b5d-a01ed56e85ae','Col':5,'Row':5,'Format':'numberic','Value':'0','TargetCode':''}</v>
      </c>
    </row>
    <row r="188" spans="1:1">
      <c r="A188" t="str">
        <f>CONCATENATE("{'SheetId':'5ca8c4ee-b8a7-4cfd-b34f-43f723c1d20d'",",","'UId':'286559a1-834c-416b-b7e9-ecb0a300ebcf'",",'Col':",COLUMN(BCTinhHinhTaiChinh_06105!C6),",'Row':",ROW(BCTinhHinhTaiChinh_06105!C6),",","'Format':'string'",",'Value':'",SUBSTITUTE(BCTinhHinhTaiChinh_06105!C6,"'","\'"),"','TargetCode':''}")</f>
        <v>{'SheetId':'5ca8c4ee-b8a7-4cfd-b34f-43f723c1d20d','UId':'286559a1-834c-416b-b7e9-ecb0a300ebcf','Col':3,'Row':6,'Format':'string','Value':'','TargetCode':''}</v>
      </c>
    </row>
    <row r="189" spans="1:1">
      <c r="A189" t="str">
        <f>CONCATENATE("{'SheetId':'5ca8c4ee-b8a7-4cfd-b34f-43f723c1d20d'",",","'UId':'716975d1-7fdb-4857-aa1f-42944193125d'",",'Col':",COLUMN(BCTinhHinhTaiChinh_06105!D6),",'Row':",ROW(BCTinhHinhTaiChinh_06105!D6),",","'Format':'numberic'",",'Value':'",SUBSTITUTE(BCTinhHinhTaiChinh_06105!D6,"'","\'"),"','TargetCode':''}")</f>
        <v>{'SheetId':'5ca8c4ee-b8a7-4cfd-b34f-43f723c1d20d','UId':'716975d1-7fdb-4857-aa1f-42944193125d','Col':4,'Row':6,'Format':'numberic','Value':'0','TargetCode':''}</v>
      </c>
    </row>
    <row r="190" spans="1:1">
      <c r="A190" t="str">
        <f>CONCATENATE("{'SheetId':'5ca8c4ee-b8a7-4cfd-b34f-43f723c1d20d'",",","'UId':'8e457463-0132-4bf1-a716-54152f35ecd2'",",'Col':",COLUMN(BCTinhHinhTaiChinh_06105!E6),",'Row':",ROW(BCTinhHinhTaiChinh_06105!E6),",","'Format':'numberic'",",'Value':'",SUBSTITUTE(BCTinhHinhTaiChinh_06105!E6,"'","\'"),"','TargetCode':''}")</f>
        <v>{'SheetId':'5ca8c4ee-b8a7-4cfd-b34f-43f723c1d20d','UId':'8e457463-0132-4bf1-a716-54152f35ecd2','Col':5,'Row':6,'Format':'numberic','Value':'0','TargetCode':''}</v>
      </c>
    </row>
    <row r="191" spans="1:1">
      <c r="A191" t="str">
        <f>CONCATENATE("{'SheetId':'5ca8c4ee-b8a7-4cfd-b34f-43f723c1d20d'",",","'UId':'5352a878-52ec-47fe-b1d3-774d44eb78e2'",",'Col':",COLUMN(BCTinhHinhTaiChinh_06105!C7),",'Row':",ROW(BCTinhHinhTaiChinh_06105!C7),",","'Format':'string'",",'Value':'",SUBSTITUTE(BCTinhHinhTaiChinh_06105!C7,"'","\'"),"','TargetCode':''}")</f>
        <v>{'SheetId':'5ca8c4ee-b8a7-4cfd-b34f-43f723c1d20d','UId':'5352a878-52ec-47fe-b1d3-774d44eb78e2','Col':3,'Row':7,'Format':'string','Value':'','TargetCode':''}</v>
      </c>
    </row>
    <row r="192" spans="1:1">
      <c r="A192" t="str">
        <f>CONCATENATE("{'SheetId':'5ca8c4ee-b8a7-4cfd-b34f-43f723c1d20d'",",","'UId':'1182a4f0-62b3-42fd-844d-6b2e0c51aaf3'",",'Col':",COLUMN(BCTinhHinhTaiChinh_06105!D7),",'Row':",ROW(BCTinhHinhTaiChinh_06105!D7),",","'Format':'numberic'",",'Value':'",SUBSTITUTE(BCTinhHinhTaiChinh_06105!D7,"'","\'"),"','TargetCode':''}")</f>
        <v>{'SheetId':'5ca8c4ee-b8a7-4cfd-b34f-43f723c1d20d','UId':'1182a4f0-62b3-42fd-844d-6b2e0c51aaf3','Col':4,'Row':7,'Format':'numberic','Value':'1321281100','TargetCode':''}</v>
      </c>
    </row>
    <row r="193" spans="1:1">
      <c r="A193" t="str">
        <f>CONCATENATE("{'SheetId':'5ca8c4ee-b8a7-4cfd-b34f-43f723c1d20d'",",","'UId':'4a4befef-0d8e-4f29-ac71-ac02e1daf876'",",'Col':",COLUMN(BCTinhHinhTaiChinh_06105!E7),",'Row':",ROW(BCTinhHinhTaiChinh_06105!E7),",","'Format':'numberic'",",'Value':'",SUBSTITUTE(BCTinhHinhTaiChinh_06105!E7,"'","\'"),"','TargetCode':''}")</f>
        <v>{'SheetId':'5ca8c4ee-b8a7-4cfd-b34f-43f723c1d20d','UId':'4a4befef-0d8e-4f29-ac71-ac02e1daf876','Col':5,'Row':7,'Format':'numberic','Value':'2252557622','TargetCode':''}</v>
      </c>
    </row>
    <row r="194" spans="1:1">
      <c r="A194" t="str">
        <f>CONCATENATE("{'SheetId':'5ca8c4ee-b8a7-4cfd-b34f-43f723c1d20d'",",","'UId':'55f8a238-3585-495b-9766-b52aa216932b'",",'Col':",COLUMN(BCTinhHinhTaiChinh_06105!C8),",'Row':",ROW(BCTinhHinhTaiChinh_06105!C8),",","'Format':'string'",",'Value':'",SUBSTITUTE(BCTinhHinhTaiChinh_06105!C8,"'","\'"),"','TargetCode':''}")</f>
        <v>{'SheetId':'5ca8c4ee-b8a7-4cfd-b34f-43f723c1d20d','UId':'55f8a238-3585-495b-9766-b52aa216932b','Col':3,'Row':8,'Format':'string','Value':'','TargetCode':''}</v>
      </c>
    </row>
    <row r="195" spans="1:1">
      <c r="A195" t="str">
        <f>CONCATENATE("{'SheetId':'5ca8c4ee-b8a7-4cfd-b34f-43f723c1d20d'",",","'UId':'9f3282d6-e436-4b7a-972d-cb7c97eefea6'",",'Col':",COLUMN(BCTinhHinhTaiChinh_06105!D8),",'Row':",ROW(BCTinhHinhTaiChinh_06105!D8),",","'Format':'numberic'",",'Value':'",SUBSTITUTE(BCTinhHinhTaiChinh_06105!D8,"'","\'"),"','TargetCode':''}")</f>
        <v>{'SheetId':'5ca8c4ee-b8a7-4cfd-b34f-43f723c1d20d','UId':'9f3282d6-e436-4b7a-972d-cb7c97eefea6','Col':4,'Row':8,'Format':'numberic','Value':'0','TargetCode':''}</v>
      </c>
    </row>
    <row r="196" spans="1:1">
      <c r="A196" t="str">
        <f>CONCATENATE("{'SheetId':'5ca8c4ee-b8a7-4cfd-b34f-43f723c1d20d'",",","'UId':'e29bedb9-5abc-43f6-a84b-65bf46dd06c8'",",'Col':",COLUMN(BCTinhHinhTaiChinh_06105!E8),",'Row':",ROW(BCTinhHinhTaiChinh_06105!E8),",","'Format':'numberic'",",'Value':'",SUBSTITUTE(BCTinhHinhTaiChinh_06105!E8,"'","\'"),"','TargetCode':''}")</f>
        <v>{'SheetId':'5ca8c4ee-b8a7-4cfd-b34f-43f723c1d20d','UId':'e29bedb9-5abc-43f6-a84b-65bf46dd06c8','Col':5,'Row':8,'Format':'numberic','Value':'0','TargetCode':''}</v>
      </c>
    </row>
    <row r="197" spans="1:1">
      <c r="A197" t="str">
        <f>CONCATENATE("{'SheetId':'5ca8c4ee-b8a7-4cfd-b34f-43f723c1d20d'",",","'UId':'c5f8fc2d-c0ce-4597-9db2-ed225739d45d'",",'Col':",COLUMN(BCTinhHinhTaiChinh_06105!C9),",'Row':",ROW(BCTinhHinhTaiChinh_06105!C9),",","'Format':'string'",",'Value':'",SUBSTITUTE(BCTinhHinhTaiChinh_06105!C9,"'","\'"),"','TargetCode':''}")</f>
        <v>{'SheetId':'5ca8c4ee-b8a7-4cfd-b34f-43f723c1d20d','UId':'c5f8fc2d-c0ce-4597-9db2-ed225739d45d','Col':3,'Row':9,'Format':'string','Value':'','TargetCode':''}</v>
      </c>
    </row>
    <row r="198" spans="1:1">
      <c r="A198" t="str">
        <f>CONCATENATE("{'SheetId':'5ca8c4ee-b8a7-4cfd-b34f-43f723c1d20d'",",","'UId':'4e13c738-8973-49e9-b555-01e9514e9f1f'",",'Col':",COLUMN(BCTinhHinhTaiChinh_06105!D9),",'Row':",ROW(BCTinhHinhTaiChinh_06105!D9),",","'Format':'numberic'",",'Value':'",SUBSTITUTE(BCTinhHinhTaiChinh_06105!D9,"'","\'"),"','TargetCode':''}")</f>
        <v>{'SheetId':'5ca8c4ee-b8a7-4cfd-b34f-43f723c1d20d','UId':'4e13c738-8973-49e9-b555-01e9514e9f1f','Col':4,'Row':9,'Format':'numberic','Value':'0','TargetCode':''}</v>
      </c>
    </row>
    <row r="199" spans="1:1">
      <c r="A199" t="str">
        <f>CONCATENATE("{'SheetId':'5ca8c4ee-b8a7-4cfd-b34f-43f723c1d20d'",",","'UId':'f3815463-910f-487b-929a-28460ea2ccf6'",",'Col':",COLUMN(BCTinhHinhTaiChinh_06105!E9),",'Row':",ROW(BCTinhHinhTaiChinh_06105!E9),",","'Format':'numberic'",",'Value':'",SUBSTITUTE(BCTinhHinhTaiChinh_06105!E9,"'","\'"),"','TargetCode':''}")</f>
        <v>{'SheetId':'5ca8c4ee-b8a7-4cfd-b34f-43f723c1d20d','UId':'f3815463-910f-487b-929a-28460ea2ccf6','Col':5,'Row':9,'Format':'numberic','Value':'0','TargetCode':''}</v>
      </c>
    </row>
    <row r="200" spans="1:1">
      <c r="A200" t="str">
        <f>CONCATENATE("{'SheetId':'5ca8c4ee-b8a7-4cfd-b34f-43f723c1d20d'",",","'UId':'be788ac9-6271-4e5d-86e4-cd8c1670272a'",",'Col':",COLUMN(BCTinhHinhTaiChinh_06105!C10),",'Row':",ROW(BCTinhHinhTaiChinh_06105!C10),",","'Format':'string'",",'Value':'",SUBSTITUTE(BCTinhHinhTaiChinh_06105!C10,"'","\'"),"','TargetCode':''}")</f>
        <v>{'SheetId':'5ca8c4ee-b8a7-4cfd-b34f-43f723c1d20d','UId':'be788ac9-6271-4e5d-86e4-cd8c1670272a','Col':3,'Row':10,'Format':'string','Value':'','TargetCode':''}</v>
      </c>
    </row>
    <row r="201" spans="1:1">
      <c r="A201" t="str">
        <f>CONCATENATE("{'SheetId':'5ca8c4ee-b8a7-4cfd-b34f-43f723c1d20d'",",","'UId':'70b4c8de-9d01-42c3-9328-584157078ad2'",",'Col':",COLUMN(BCTinhHinhTaiChinh_06105!D10),",'Row':",ROW(BCTinhHinhTaiChinh_06105!D10),",","'Format':'numberic'",",'Value':'",SUBSTITUTE(BCTinhHinhTaiChinh_06105!D10,"'","\'"),"','TargetCode':''}")</f>
        <v>{'SheetId':'5ca8c4ee-b8a7-4cfd-b34f-43f723c1d20d','UId':'70b4c8de-9d01-42c3-9328-584157078ad2','Col':4,'Row':10,'Format':'numberic','Value':'105800000000','TargetCode':''}</v>
      </c>
    </row>
    <row r="202" spans="1:1">
      <c r="A202" t="str">
        <f>CONCATENATE("{'SheetId':'5ca8c4ee-b8a7-4cfd-b34f-43f723c1d20d'",",","'UId':'af330942-33a6-4666-bcd0-8031d89a48d3'",",'Col':",COLUMN(BCTinhHinhTaiChinh_06105!E10),",'Row':",ROW(BCTinhHinhTaiChinh_06105!E10),",","'Format':'numberic'",",'Value':'",SUBSTITUTE(BCTinhHinhTaiChinh_06105!E10,"'","\'"),"','TargetCode':''}")</f>
        <v>{'SheetId':'5ca8c4ee-b8a7-4cfd-b34f-43f723c1d20d','UId':'af330942-33a6-4666-bcd0-8031d89a48d3','Col':5,'Row':10,'Format':'numberic','Value':'102800000000','TargetCode':''}</v>
      </c>
    </row>
    <row r="203" spans="1:1">
      <c r="A203" t="str">
        <f>CONCATENATE("{'SheetId':'5ca8c4ee-b8a7-4cfd-b34f-43f723c1d20d'",",","'UId':'cb6829ad-cf69-4c23-84e5-dec8962756fa'",",'Col':",COLUMN(BCTinhHinhTaiChinh_06105!C11),",'Row':",ROW(BCTinhHinhTaiChinh_06105!C11),",","'Format':'string'",",'Value':'",SUBSTITUTE(BCTinhHinhTaiChinh_06105!C11,"'","\'"),"','TargetCode':''}")</f>
        <v>{'SheetId':'5ca8c4ee-b8a7-4cfd-b34f-43f723c1d20d','UId':'cb6829ad-cf69-4c23-84e5-dec8962756fa','Col':3,'Row':11,'Format':'string','Value':'','TargetCode':''}</v>
      </c>
    </row>
    <row r="204" spans="1:1">
      <c r="A204" t="str">
        <f>CONCATENATE("{'SheetId':'5ca8c4ee-b8a7-4cfd-b34f-43f723c1d20d'",",","'UId':'a9ac8c83-8f86-4ac0-bc93-2e0ccf1bde7b'",",'Col':",COLUMN(BCTinhHinhTaiChinh_06105!D11),",'Row':",ROW(BCTinhHinhTaiChinh_06105!D11),",","'Format':'numberic'",",'Value':'",SUBSTITUTE(BCTinhHinhTaiChinh_06105!D11,"'","\'"),"','TargetCode':''}")</f>
        <v>{'SheetId':'5ca8c4ee-b8a7-4cfd-b34f-43f723c1d20d','UId':'a9ac8c83-8f86-4ac0-bc93-2e0ccf1bde7b','Col':4,'Row':11,'Format':'numberic','Value':'105800000000','TargetCode':''}</v>
      </c>
    </row>
    <row r="205" spans="1:1">
      <c r="A205" t="str">
        <f>CONCATENATE("{'SheetId':'5ca8c4ee-b8a7-4cfd-b34f-43f723c1d20d'",",","'UId':'ad1c9ab5-40ea-43f5-8b81-22d1c2ae84bc'",",'Col':",COLUMN(BCTinhHinhTaiChinh_06105!E11),",'Row':",ROW(BCTinhHinhTaiChinh_06105!E11),",","'Format':'numberic'",",'Value':'",SUBSTITUTE(BCTinhHinhTaiChinh_06105!E11,"'","\'"),"','TargetCode':''}")</f>
        <v>{'SheetId':'5ca8c4ee-b8a7-4cfd-b34f-43f723c1d20d','UId':'ad1c9ab5-40ea-43f5-8b81-22d1c2ae84bc','Col':5,'Row':11,'Format':'numberic','Value':'102800000000','TargetCode':''}</v>
      </c>
    </row>
    <row r="206" spans="1:1">
      <c r="A206" t="str">
        <f>CONCATENATE("{'SheetId':'5ca8c4ee-b8a7-4cfd-b34f-43f723c1d20d'",",","'UId':'b13814be-6100-4e19-a816-8600225bf6ae'",",'Col':",COLUMN(BCTinhHinhTaiChinh_06105!C12),",'Row':",ROW(BCTinhHinhTaiChinh_06105!C12),",","'Format':'string'",",'Value':'",SUBSTITUTE(BCTinhHinhTaiChinh_06105!C12,"'","\'"),"','TargetCode':''}")</f>
        <v>{'SheetId':'5ca8c4ee-b8a7-4cfd-b34f-43f723c1d20d','UId':'b13814be-6100-4e19-a816-8600225bf6ae','Col':3,'Row':12,'Format':'string','Value':'','TargetCode':''}</v>
      </c>
    </row>
    <row r="207" spans="1:1">
      <c r="A207" t="str">
        <f>CONCATENATE("{'SheetId':'5ca8c4ee-b8a7-4cfd-b34f-43f723c1d20d'",",","'UId':'ae35444f-eacb-4670-ae19-d5a4997fa00d'",",'Col':",COLUMN(BCTinhHinhTaiChinh_06105!D12),",'Row':",ROW(BCTinhHinhTaiChinh_06105!D12),",","'Format':'numberic'",",'Value':'",SUBSTITUTE(BCTinhHinhTaiChinh_06105!D12,"'","\'"),"','TargetCode':''}")</f>
        <v>{'SheetId':'5ca8c4ee-b8a7-4cfd-b34f-43f723c1d20d','UId':'ae35444f-eacb-4670-ae19-d5a4997fa00d','Col':4,'Row':12,'Format':'numberic','Value':'0','TargetCode':''}</v>
      </c>
    </row>
    <row r="208" spans="1:1">
      <c r="A208" t="str">
        <f>CONCATENATE("{'SheetId':'5ca8c4ee-b8a7-4cfd-b34f-43f723c1d20d'",",","'UId':'8a2b31f2-32ad-4736-aa18-cfa3cef6299a'",",'Col':",COLUMN(BCTinhHinhTaiChinh_06105!E12),",'Row':",ROW(BCTinhHinhTaiChinh_06105!E12),",","'Format':'numberic'",",'Value':'",SUBSTITUTE(BCTinhHinhTaiChinh_06105!E12,"'","\'"),"','TargetCode':''}")</f>
        <v>{'SheetId':'5ca8c4ee-b8a7-4cfd-b34f-43f723c1d20d','UId':'8a2b31f2-32ad-4736-aa18-cfa3cef6299a','Col':5,'Row':12,'Format':'numberic','Value':'0','TargetCode':''}</v>
      </c>
    </row>
    <row r="209" spans="1:1">
      <c r="A209" t="str">
        <f>CONCATENATE("{'SheetId':'5ca8c4ee-b8a7-4cfd-b34f-43f723c1d20d'",",","'UId':'4db1858f-590b-485a-96bd-ed8a1df0f077'",",'Col':",COLUMN(BCTinhHinhTaiChinh_06105!C13),",'Row':",ROW(BCTinhHinhTaiChinh_06105!C13),",","'Format':'string'",",'Value':'",SUBSTITUTE(BCTinhHinhTaiChinh_06105!C13,"'","\'"),"','TargetCode':''}")</f>
        <v>{'SheetId':'5ca8c4ee-b8a7-4cfd-b34f-43f723c1d20d','UId':'4db1858f-590b-485a-96bd-ed8a1df0f077','Col':3,'Row':13,'Format':'string','Value':'','TargetCode':''}</v>
      </c>
    </row>
    <row r="210" spans="1:1">
      <c r="A210" t="str">
        <f>CONCATENATE("{'SheetId':'5ca8c4ee-b8a7-4cfd-b34f-43f723c1d20d'",",","'UId':'f4647ecb-0931-4272-bb98-9399c6d3525d'",",'Col':",COLUMN(BCTinhHinhTaiChinh_06105!D13),",'Row':",ROW(BCTinhHinhTaiChinh_06105!D13),",","'Format':'numberic'",",'Value':'",SUBSTITUTE(BCTinhHinhTaiChinh_06105!D13,"'","\'"),"','TargetCode':''}")</f>
        <v>{'SheetId':'5ca8c4ee-b8a7-4cfd-b34f-43f723c1d20d','UId':'f4647ecb-0931-4272-bb98-9399c6d3525d','Col':4,'Row':13,'Format':'numberic','Value':'0','TargetCode':''}</v>
      </c>
    </row>
    <row r="211" spans="1:1">
      <c r="A211" t="str">
        <f>CONCATENATE("{'SheetId':'5ca8c4ee-b8a7-4cfd-b34f-43f723c1d20d'",",","'UId':'08386fc8-2ac9-41fc-84f2-145d7bac9a33'",",'Col':",COLUMN(BCTinhHinhTaiChinh_06105!E13),",'Row':",ROW(BCTinhHinhTaiChinh_06105!E13),",","'Format':'numberic'",",'Value':'",SUBSTITUTE(BCTinhHinhTaiChinh_06105!E13,"'","\'"),"','TargetCode':''}")</f>
        <v>{'SheetId':'5ca8c4ee-b8a7-4cfd-b34f-43f723c1d20d','UId':'08386fc8-2ac9-41fc-84f2-145d7bac9a33','Col':5,'Row':13,'Format':'numberic','Value':'0','TargetCode':''}</v>
      </c>
    </row>
    <row r="212" spans="1:1">
      <c r="A212" t="str">
        <f>CONCATENATE("{'SheetId':'5ca8c4ee-b8a7-4cfd-b34f-43f723c1d20d'",",","'UId':'516028fc-6519-4636-9942-b6d64bceca72'",",'Col':",COLUMN(BCTinhHinhTaiChinh_06105!C14),",'Row':",ROW(BCTinhHinhTaiChinh_06105!C14),",","'Format':'string'",",'Value':'",SUBSTITUTE(BCTinhHinhTaiChinh_06105!C14,"'","\'"),"','TargetCode':''}")</f>
        <v>{'SheetId':'5ca8c4ee-b8a7-4cfd-b34f-43f723c1d20d','UId':'516028fc-6519-4636-9942-b6d64bceca72','Col':3,'Row':14,'Format':'string','Value':'','TargetCode':''}</v>
      </c>
    </row>
    <row r="213" spans="1:1">
      <c r="A213" t="str">
        <f>CONCATENATE("{'SheetId':'5ca8c4ee-b8a7-4cfd-b34f-43f723c1d20d'",",","'UId':'edf356bc-76e8-4073-807b-89247b115eb3'",",'Col':",COLUMN(BCTinhHinhTaiChinh_06105!D14),",'Row':",ROW(BCTinhHinhTaiChinh_06105!D14),",","'Format':'numberic'",",'Value':'",SUBSTITUTE(BCTinhHinhTaiChinh_06105!D14,"'","\'"),"','TargetCode':''}")</f>
        <v>{'SheetId':'5ca8c4ee-b8a7-4cfd-b34f-43f723c1d20d','UId':'edf356bc-76e8-4073-807b-89247b115eb3','Col':4,'Row':14,'Format':'numberic','Value':'0','TargetCode':''}</v>
      </c>
    </row>
    <row r="214" spans="1:1">
      <c r="A214" t="str">
        <f>CONCATENATE("{'SheetId':'5ca8c4ee-b8a7-4cfd-b34f-43f723c1d20d'",",","'UId':'dd26ab28-8e45-4175-9fd2-5b88a795ed52'",",'Col':",COLUMN(BCTinhHinhTaiChinh_06105!E14),",'Row':",ROW(BCTinhHinhTaiChinh_06105!E14),",","'Format':'numberic'",",'Value':'",SUBSTITUTE(BCTinhHinhTaiChinh_06105!E14,"'","\'"),"','TargetCode':''}")</f>
        <v>{'SheetId':'5ca8c4ee-b8a7-4cfd-b34f-43f723c1d20d','UId':'dd26ab28-8e45-4175-9fd2-5b88a795ed52','Col':5,'Row':14,'Format':'numberic','Value':'0','TargetCode':''}</v>
      </c>
    </row>
    <row r="215" spans="1:1">
      <c r="A215" t="str">
        <f>CONCATENATE("{'SheetId':'5ca8c4ee-b8a7-4cfd-b34f-43f723c1d20d'",",","'UId':'86ba53aa-b328-4024-9068-06e0ad8d35e8'",",'Col':",COLUMN(BCTinhHinhTaiChinh_06105!C15),",'Row':",ROW(BCTinhHinhTaiChinh_06105!C15),",","'Format':'string'",",'Value':'",SUBSTITUTE(BCTinhHinhTaiChinh_06105!C15,"'","\'"),"','TargetCode':''}")</f>
        <v>{'SheetId':'5ca8c4ee-b8a7-4cfd-b34f-43f723c1d20d','UId':'86ba53aa-b328-4024-9068-06e0ad8d35e8','Col':3,'Row':15,'Format':'string','Value':'','TargetCode':''}</v>
      </c>
    </row>
    <row r="216" spans="1:1">
      <c r="A216" t="str">
        <f>CONCATENATE("{'SheetId':'5ca8c4ee-b8a7-4cfd-b34f-43f723c1d20d'",",","'UId':'4c057c2c-b13a-4e8a-9162-afb0dcd861ba'",",'Col':",COLUMN(BCTinhHinhTaiChinh_06105!D15),",'Row':",ROW(BCTinhHinhTaiChinh_06105!D15),",","'Format':'numberic'",",'Value':'",SUBSTITUTE(BCTinhHinhTaiChinh_06105!D15,"'","\'"),"','TargetCode':''}")</f>
        <v>{'SheetId':'5ca8c4ee-b8a7-4cfd-b34f-43f723c1d20d','UId':'4c057c2c-b13a-4e8a-9162-afb0dcd861ba','Col':4,'Row':15,'Format':'numberic','Value':'0','TargetCode':''}</v>
      </c>
    </row>
    <row r="217" spans="1:1">
      <c r="A217" t="str">
        <f>CONCATENATE("{'SheetId':'5ca8c4ee-b8a7-4cfd-b34f-43f723c1d20d'",",","'UId':'d7c7b84b-a2c3-4c1c-9681-93966dcd73c3'",",'Col':",COLUMN(BCTinhHinhTaiChinh_06105!E15),",'Row':",ROW(BCTinhHinhTaiChinh_06105!E15),",","'Format':'numberic'",",'Value':'",SUBSTITUTE(BCTinhHinhTaiChinh_06105!E15,"'","\'"),"','TargetCode':''}")</f>
        <v>{'SheetId':'5ca8c4ee-b8a7-4cfd-b34f-43f723c1d20d','UId':'d7c7b84b-a2c3-4c1c-9681-93966dcd73c3','Col':5,'Row':15,'Format':'numberic','Value':'0','TargetCode':''}</v>
      </c>
    </row>
    <row r="218" spans="1:1">
      <c r="A218" t="str">
        <f>CONCATENATE("{'SheetId':'5ca8c4ee-b8a7-4cfd-b34f-43f723c1d20d'",",","'UId':'48d91216-04ae-469f-9e24-22171fe28dc8'",",'Col':",COLUMN(BCTinhHinhTaiChinh_06105!C16),",'Row':",ROW(BCTinhHinhTaiChinh_06105!C16),",","'Format':'string'",",'Value':'",SUBSTITUTE(BCTinhHinhTaiChinh_06105!C16,"'","\'"),"','TargetCode':''}")</f>
        <v>{'SheetId':'5ca8c4ee-b8a7-4cfd-b34f-43f723c1d20d','UId':'48d91216-04ae-469f-9e24-22171fe28dc8','Col':3,'Row':16,'Format':'string','Value':'','TargetCode':''}</v>
      </c>
    </row>
    <row r="219" spans="1:1">
      <c r="A219" t="str">
        <f>CONCATENATE("{'SheetId':'5ca8c4ee-b8a7-4cfd-b34f-43f723c1d20d'",",","'UId':'3b378ccf-8e0f-424f-8d0d-0b2daa559854'",",'Col':",COLUMN(BCTinhHinhTaiChinh_06105!D16),",'Row':",ROW(BCTinhHinhTaiChinh_06105!D16),",","'Format':'numberic'",",'Value':'",SUBSTITUTE(BCTinhHinhTaiChinh_06105!D16,"'","\'"),"','TargetCode':''}")</f>
        <v>{'SheetId':'5ca8c4ee-b8a7-4cfd-b34f-43f723c1d20d','UId':'3b378ccf-8e0f-424f-8d0d-0b2daa559854','Col':4,'Row':16,'Format':'numberic','Value':'15000000000','TargetCode':''}</v>
      </c>
    </row>
    <row r="220" spans="1:1">
      <c r="A220" t="str">
        <f>CONCATENATE("{'SheetId':'5ca8c4ee-b8a7-4cfd-b34f-43f723c1d20d'",",","'UId':'bddc1dbe-abc7-4aa2-8cd5-afa8c3613640'",",'Col':",COLUMN(BCTinhHinhTaiChinh_06105!E16),",'Row':",ROW(BCTinhHinhTaiChinh_06105!E16),",","'Format':'numberic'",",'Value':'",SUBSTITUTE(BCTinhHinhTaiChinh_06105!E16,"'","\'"),"','TargetCode':''}")</f>
        <v>{'SheetId':'5ca8c4ee-b8a7-4cfd-b34f-43f723c1d20d','UId':'bddc1dbe-abc7-4aa2-8cd5-afa8c3613640','Col':5,'Row':16,'Format':'numberic','Value':'10000000000','TargetCode':''}</v>
      </c>
    </row>
    <row r="221" spans="1:1">
      <c r="A221" t="str">
        <f>CONCATENATE("{'SheetId':'5ca8c4ee-b8a7-4cfd-b34f-43f723c1d20d'",",","'UId':'d050c1dd-2c58-4087-87f2-7bdf905130a9'",",'Col':",COLUMN(BCTinhHinhTaiChinh_06105!C17),",'Row':",ROW(BCTinhHinhTaiChinh_06105!C17),",","'Format':'string'",",'Value':'",SUBSTITUTE(BCTinhHinhTaiChinh_06105!C17,"'","\'"),"','TargetCode':''}")</f>
        <v>{'SheetId':'5ca8c4ee-b8a7-4cfd-b34f-43f723c1d20d','UId':'d050c1dd-2c58-4087-87f2-7bdf905130a9','Col':3,'Row':17,'Format':'string','Value':'','TargetCode':''}</v>
      </c>
    </row>
    <row r="222" spans="1:1">
      <c r="A222" t="str">
        <f>CONCATENATE("{'SheetId':'5ca8c4ee-b8a7-4cfd-b34f-43f723c1d20d'",",","'UId':'de88c083-4fdd-4aeb-a9ca-2390f8b3c4f0'",",'Col':",COLUMN(BCTinhHinhTaiChinh_06105!D17),",'Row':",ROW(BCTinhHinhTaiChinh_06105!D17),",","'Format':'numberic'",",'Value':'",SUBSTITUTE(BCTinhHinhTaiChinh_06105!D17,"'","\'"),"','TargetCode':''}")</f>
        <v>{'SheetId':'5ca8c4ee-b8a7-4cfd-b34f-43f723c1d20d','UId':'de88c083-4fdd-4aeb-a9ca-2390f8b3c4f0','Col':4,'Row':17,'Format':'numberic','Value':'90800000000','TargetCode':''}</v>
      </c>
    </row>
    <row r="223" spans="1:1">
      <c r="A223" t="str">
        <f>CONCATENATE("{'SheetId':'5ca8c4ee-b8a7-4cfd-b34f-43f723c1d20d'",",","'UId':'9c0b055c-06c2-4503-a5ac-c163e67ff53a'",",'Col':",COLUMN(BCTinhHinhTaiChinh_06105!E17),",'Row':",ROW(BCTinhHinhTaiChinh_06105!E17),",","'Format':'numberic'",",'Value':'",SUBSTITUTE(BCTinhHinhTaiChinh_06105!E17,"'","\'"),"','TargetCode':''}")</f>
        <v>{'SheetId':'5ca8c4ee-b8a7-4cfd-b34f-43f723c1d20d','UId':'9c0b055c-06c2-4503-a5ac-c163e67ff53a','Col':5,'Row':17,'Format':'numberic','Value':'92800000000','TargetCode':''}</v>
      </c>
    </row>
    <row r="224" spans="1:1">
      <c r="A224" t="str">
        <f>CONCATENATE("{'SheetId':'5ca8c4ee-b8a7-4cfd-b34f-43f723c1d20d'",",","'UId':'8fceb95b-3c3d-48aa-9aa8-98d0c693533c'",",'Col':",COLUMN(BCTinhHinhTaiChinh_06105!C18),",'Row':",ROW(BCTinhHinhTaiChinh_06105!C18),",","'Format':'string'",",'Value':'",SUBSTITUTE(BCTinhHinhTaiChinh_06105!C18,"'","\'"),"','TargetCode':''}")</f>
        <v>{'SheetId':'5ca8c4ee-b8a7-4cfd-b34f-43f723c1d20d','UId':'8fceb95b-3c3d-48aa-9aa8-98d0c693533c','Col':3,'Row':18,'Format':'string','Value':'','TargetCode':''}</v>
      </c>
    </row>
    <row r="225" spans="1:1">
      <c r="A225" t="str">
        <f>CONCATENATE("{'SheetId':'5ca8c4ee-b8a7-4cfd-b34f-43f723c1d20d'",",","'UId':'7e0c86ad-1373-4514-97f0-3faf75c2e507'",",'Col':",COLUMN(BCTinhHinhTaiChinh_06105!D18),",'Row':",ROW(BCTinhHinhTaiChinh_06105!D18),",","'Format':'numberic'",",'Value':'",SUBSTITUTE(BCTinhHinhTaiChinh_06105!D18,"'","\'"),"','TargetCode':''}")</f>
        <v>{'SheetId':'5ca8c4ee-b8a7-4cfd-b34f-43f723c1d20d','UId':'7e0c86ad-1373-4514-97f0-3faf75c2e507','Col':4,'Row':18,'Format':'numberic','Value':'0','TargetCode':''}</v>
      </c>
    </row>
    <row r="226" spans="1:1">
      <c r="A226" t="str">
        <f>CONCATENATE("{'SheetId':'5ca8c4ee-b8a7-4cfd-b34f-43f723c1d20d'",",","'UId':'5ea3f2c7-3d75-44f1-b59d-5df6d551fec3'",",'Col':",COLUMN(BCTinhHinhTaiChinh_06105!E18),",'Row':",ROW(BCTinhHinhTaiChinh_06105!E18),",","'Format':'numberic'",",'Value':'",SUBSTITUTE(BCTinhHinhTaiChinh_06105!E18,"'","\'"),"','TargetCode':''}")</f>
        <v>{'SheetId':'5ca8c4ee-b8a7-4cfd-b34f-43f723c1d20d','UId':'5ea3f2c7-3d75-44f1-b59d-5df6d551fec3','Col':5,'Row':18,'Format':'numberic','Value':'0','TargetCode':''}</v>
      </c>
    </row>
    <row r="227" spans="1:1">
      <c r="A227" t="str">
        <f>CONCATENATE("{'SheetId':'5ca8c4ee-b8a7-4cfd-b34f-43f723c1d20d'",",","'UId':'16b2a550-fe9b-4e7d-bcc4-9ec82e1a4689'",",'Col':",COLUMN(BCTinhHinhTaiChinh_06105!C19),",'Row':",ROW(BCTinhHinhTaiChinh_06105!C19),",","'Format':'string'",",'Value':'",SUBSTITUTE(BCTinhHinhTaiChinh_06105!C19,"'","\'"),"','TargetCode':''}")</f>
        <v>{'SheetId':'5ca8c4ee-b8a7-4cfd-b34f-43f723c1d20d','UId':'16b2a550-fe9b-4e7d-bcc4-9ec82e1a4689','Col':3,'Row':19,'Format':'string','Value':'','TargetCode':''}</v>
      </c>
    </row>
    <row r="228" spans="1:1">
      <c r="A228" t="str">
        <f>CONCATENATE("{'SheetId':'5ca8c4ee-b8a7-4cfd-b34f-43f723c1d20d'",",","'UId':'85ea42a8-ca26-4290-9d4e-2f0ab7bece49'",",'Col':",COLUMN(BCTinhHinhTaiChinh_06105!D19),",'Row':",ROW(BCTinhHinhTaiChinh_06105!D19),",","'Format':'numberic'",",'Value':'",SUBSTITUTE(BCTinhHinhTaiChinh_06105!D19,"'","\'"),"','TargetCode':''}")</f>
        <v>{'SheetId':'5ca8c4ee-b8a7-4cfd-b34f-43f723c1d20d','UId':'85ea42a8-ca26-4290-9d4e-2f0ab7bece49','Col':4,'Row':19,'Format':'numberic','Value':'0','TargetCode':''}</v>
      </c>
    </row>
    <row r="229" spans="1:1">
      <c r="A229" t="str">
        <f>CONCATENATE("{'SheetId':'5ca8c4ee-b8a7-4cfd-b34f-43f723c1d20d'",",","'UId':'c4fb93a1-170b-4107-8cab-166c1784e730'",",'Col':",COLUMN(BCTinhHinhTaiChinh_06105!E19),",'Row':",ROW(BCTinhHinhTaiChinh_06105!E19),",","'Format':'numberic'",",'Value':'",SUBSTITUTE(BCTinhHinhTaiChinh_06105!E19,"'","\'"),"','TargetCode':''}")</f>
        <v>{'SheetId':'5ca8c4ee-b8a7-4cfd-b34f-43f723c1d20d','UId':'c4fb93a1-170b-4107-8cab-166c1784e730','Col':5,'Row':19,'Format':'numberic','Value':'0','TargetCode':''}</v>
      </c>
    </row>
    <row r="230" spans="1:1">
      <c r="A230" t="str">
        <f>CONCATENATE("{'SheetId':'5ca8c4ee-b8a7-4cfd-b34f-43f723c1d20d'",",","'UId':'acdb501b-8dd2-4aa6-9a1d-aa6fba8f66e1'",",'Col':",COLUMN(BCTinhHinhTaiChinh_06105!C20),",'Row':",ROW(BCTinhHinhTaiChinh_06105!C20),",","'Format':'string'",",'Value':'",SUBSTITUTE(BCTinhHinhTaiChinh_06105!C20,"'","\'"),"','TargetCode':''}")</f>
        <v>{'SheetId':'5ca8c4ee-b8a7-4cfd-b34f-43f723c1d20d','UId':'acdb501b-8dd2-4aa6-9a1d-aa6fba8f66e1','Col':3,'Row':20,'Format':'string','Value':'','TargetCode':''}</v>
      </c>
    </row>
    <row r="231" spans="1:1">
      <c r="A231" t="str">
        <f>CONCATENATE("{'SheetId':'5ca8c4ee-b8a7-4cfd-b34f-43f723c1d20d'",",","'UId':'b3a49ab8-769f-44f0-a3c4-d67d2cba5409'",",'Col':",COLUMN(BCTinhHinhTaiChinh_06105!D20),",'Row':",ROW(BCTinhHinhTaiChinh_06105!D20),",","'Format':'numberic'",",'Value':'",SUBSTITUTE(BCTinhHinhTaiChinh_06105!D20,"'","\'"),"','TargetCode':''}")</f>
        <v>{'SheetId':'5ca8c4ee-b8a7-4cfd-b34f-43f723c1d20d','UId':'b3a49ab8-769f-44f0-a3c4-d67d2cba5409','Col':4,'Row':20,'Format':'numberic','Value':'0','TargetCode':''}</v>
      </c>
    </row>
    <row r="232" spans="1:1">
      <c r="A232" t="str">
        <f>CONCATENATE("{'SheetId':'5ca8c4ee-b8a7-4cfd-b34f-43f723c1d20d'",",","'UId':'52ec33f1-bd42-47be-9c63-049bd8c99bb4'",",'Col':",COLUMN(BCTinhHinhTaiChinh_06105!E20),",'Row':",ROW(BCTinhHinhTaiChinh_06105!E20),",","'Format':'numberic'",",'Value':'",SUBSTITUTE(BCTinhHinhTaiChinh_06105!E20,"'","\'"),"','TargetCode':''}")</f>
        <v>{'SheetId':'5ca8c4ee-b8a7-4cfd-b34f-43f723c1d20d','UId':'52ec33f1-bd42-47be-9c63-049bd8c99bb4','Col':5,'Row':20,'Format':'numberic','Value':'0','TargetCode':''}</v>
      </c>
    </row>
    <row r="233" spans="1:1">
      <c r="A233" t="str">
        <f>CONCATENATE("{'SheetId':'5ca8c4ee-b8a7-4cfd-b34f-43f723c1d20d'",",","'UId':'d2bd03f5-5621-4a7e-adc9-73d110f1e1bb'",",'Col':",COLUMN(BCTinhHinhTaiChinh_06105!C21),",'Row':",ROW(BCTinhHinhTaiChinh_06105!C21),",","'Format':'string'",",'Value':'",SUBSTITUTE(BCTinhHinhTaiChinh_06105!C21,"'","\'"),"','TargetCode':''}")</f>
        <v>{'SheetId':'5ca8c4ee-b8a7-4cfd-b34f-43f723c1d20d','UId':'d2bd03f5-5621-4a7e-adc9-73d110f1e1bb','Col':3,'Row':21,'Format':'string','Value':'','TargetCode':''}</v>
      </c>
    </row>
    <row r="234" spans="1:1">
      <c r="A234" t="str">
        <f>CONCATENATE("{'SheetId':'5ca8c4ee-b8a7-4cfd-b34f-43f723c1d20d'",",","'UId':'777314ed-8433-47f6-beca-a90b2ea3bb0c'",",'Col':",COLUMN(BCTinhHinhTaiChinh_06105!D21),",'Row':",ROW(BCTinhHinhTaiChinh_06105!D21),",","'Format':'numberic'",",'Value':'",SUBSTITUTE(BCTinhHinhTaiChinh_06105!D21,"'","\'"),"','TargetCode':''}")</f>
        <v>{'SheetId':'5ca8c4ee-b8a7-4cfd-b34f-43f723c1d20d','UId':'777314ed-8433-47f6-beca-a90b2ea3bb0c','Col':4,'Row':21,'Format':'numberic','Value':'0','TargetCode':''}</v>
      </c>
    </row>
    <row r="235" spans="1:1">
      <c r="A235" t="str">
        <f>CONCATENATE("{'SheetId':'5ca8c4ee-b8a7-4cfd-b34f-43f723c1d20d'",",","'UId':'988cf667-ab49-40bb-b00d-b6a104a6f85d'",",'Col':",COLUMN(BCTinhHinhTaiChinh_06105!E21),",'Row':",ROW(BCTinhHinhTaiChinh_06105!E21),",","'Format':'numberic'",",'Value':'",SUBSTITUTE(BCTinhHinhTaiChinh_06105!E21,"'","\'"),"','TargetCode':''}")</f>
        <v>{'SheetId':'5ca8c4ee-b8a7-4cfd-b34f-43f723c1d20d','UId':'988cf667-ab49-40bb-b00d-b6a104a6f85d','Col':5,'Row':21,'Format':'numberic','Value':'0','TargetCode':''}</v>
      </c>
    </row>
    <row r="236" spans="1:1">
      <c r="A236" t="str">
        <f>CONCATENATE("{'SheetId':'5ca8c4ee-b8a7-4cfd-b34f-43f723c1d20d'",",","'UId':'626fa20e-c8e0-4a49-bb15-b611ed66d690'",",'Col':",COLUMN(BCTinhHinhTaiChinh_06105!C22),",'Row':",ROW(BCTinhHinhTaiChinh_06105!C22),",","'Format':'string'",",'Value':'",SUBSTITUTE(BCTinhHinhTaiChinh_06105!C22,"'","\'"),"','TargetCode':''}")</f>
        <v>{'SheetId':'5ca8c4ee-b8a7-4cfd-b34f-43f723c1d20d','UId':'626fa20e-c8e0-4a49-bb15-b611ed66d690','Col':3,'Row':22,'Format':'string','Value':'','TargetCode':''}</v>
      </c>
    </row>
    <row r="237" spans="1:1">
      <c r="A237" t="str">
        <f>CONCATENATE("{'SheetId':'5ca8c4ee-b8a7-4cfd-b34f-43f723c1d20d'",",","'UId':'3321c5ad-cc2a-40fc-afb1-061e80eedb2d'",",'Col':",COLUMN(BCTinhHinhTaiChinh_06105!D22),",'Row':",ROW(BCTinhHinhTaiChinh_06105!D22),",","'Format':'numberic'",",'Value':'",SUBSTITUTE(BCTinhHinhTaiChinh_06105!D22,"'","\'"),"','TargetCode':''}")</f>
        <v>{'SheetId':'5ca8c4ee-b8a7-4cfd-b34f-43f723c1d20d','UId':'3321c5ad-cc2a-40fc-afb1-061e80eedb2d','Col':4,'Row':22,'Format':'numberic','Value':'0','TargetCode':''}</v>
      </c>
    </row>
    <row r="238" spans="1:1">
      <c r="A238" t="str">
        <f>CONCATENATE("{'SheetId':'5ca8c4ee-b8a7-4cfd-b34f-43f723c1d20d'",",","'UId':'42e5236c-9363-47a8-b42b-5b4aa26dd159'",",'Col':",COLUMN(BCTinhHinhTaiChinh_06105!E22),",'Row':",ROW(BCTinhHinhTaiChinh_06105!E22),",","'Format':'numberic'",",'Value':'",SUBSTITUTE(BCTinhHinhTaiChinh_06105!E22,"'","\'"),"','TargetCode':''}")</f>
        <v>{'SheetId':'5ca8c4ee-b8a7-4cfd-b34f-43f723c1d20d','UId':'42e5236c-9363-47a8-b42b-5b4aa26dd159','Col':5,'Row':22,'Format':'numberic','Value':'0','TargetCode':''}</v>
      </c>
    </row>
    <row r="239" spans="1:1">
      <c r="A239" t="str">
        <f>CONCATENATE("{'SheetId':'5ca8c4ee-b8a7-4cfd-b34f-43f723c1d20d'",",","'UId':'b2ddc811-de81-4421-b6e9-e6e0aafee633'",",'Col':",COLUMN(BCTinhHinhTaiChinh_06105!C23),",'Row':",ROW(BCTinhHinhTaiChinh_06105!C23),",","'Format':'string'",",'Value':'",SUBSTITUTE(BCTinhHinhTaiChinh_06105!C23,"'","\'"),"','TargetCode':''}")</f>
        <v>{'SheetId':'5ca8c4ee-b8a7-4cfd-b34f-43f723c1d20d','UId':'b2ddc811-de81-4421-b6e9-e6e0aafee633','Col':3,'Row':23,'Format':'string','Value':'','TargetCode':''}</v>
      </c>
    </row>
    <row r="240" spans="1:1">
      <c r="A240" t="str">
        <f>CONCATENATE("{'SheetId':'5ca8c4ee-b8a7-4cfd-b34f-43f723c1d20d'",",","'UId':'ca58cbba-98b3-49a4-9da9-393869356c26'",",'Col':",COLUMN(BCTinhHinhTaiChinh_06105!D23),",'Row':",ROW(BCTinhHinhTaiChinh_06105!D23),",","'Format':'numberic'",",'Value':'",SUBSTITUTE(BCTinhHinhTaiChinh_06105!D23,"'","\'"),"','TargetCode':''}")</f>
        <v>{'SheetId':'5ca8c4ee-b8a7-4cfd-b34f-43f723c1d20d','UId':'ca58cbba-98b3-49a4-9da9-393869356c26','Col':4,'Row':23,'Format':'numberic','Value':'3467764384','TargetCode':''}</v>
      </c>
    </row>
    <row r="241" spans="1:1">
      <c r="A241" t="str">
        <f>CONCATENATE("{'SheetId':'5ca8c4ee-b8a7-4cfd-b34f-43f723c1d20d'",",","'UId':'ba14a456-c472-4698-ac5e-238c3081cf55'",",'Col':",COLUMN(BCTinhHinhTaiChinh_06105!E23),",'Row':",ROW(BCTinhHinhTaiChinh_06105!E23),",","'Format':'numberic'",",'Value':'",SUBSTITUTE(BCTinhHinhTaiChinh_06105!E23,"'","\'"),"','TargetCode':''}")</f>
        <v>{'SheetId':'5ca8c4ee-b8a7-4cfd-b34f-43f723c1d20d','UId':'ba14a456-c472-4698-ac5e-238c3081cf55','Col':5,'Row':23,'Format':'numberic','Value':'3570166576','TargetCode':''}</v>
      </c>
    </row>
    <row r="242" spans="1:1">
      <c r="A242" t="str">
        <f>CONCATENATE("{'SheetId':'5ca8c4ee-b8a7-4cfd-b34f-43f723c1d20d'",",","'UId':'e9559566-5b34-4c2b-b78c-e87999a48afc'",",'Col':",COLUMN(BCTinhHinhTaiChinh_06105!C24),",'Row':",ROW(BCTinhHinhTaiChinh_06105!C24),",","'Format':'string'",",'Value':'",SUBSTITUTE(BCTinhHinhTaiChinh_06105!C24,"'","\'"),"','TargetCode':''}")</f>
        <v>{'SheetId':'5ca8c4ee-b8a7-4cfd-b34f-43f723c1d20d','UId':'e9559566-5b34-4c2b-b78c-e87999a48afc','Col':3,'Row':24,'Format':'string','Value':'','TargetCode':''}</v>
      </c>
    </row>
    <row r="243" spans="1:1">
      <c r="A243" t="str">
        <f>CONCATENATE("{'SheetId':'5ca8c4ee-b8a7-4cfd-b34f-43f723c1d20d'",",","'UId':'1cc19574-a596-49ed-abda-59329314ed5a'",",'Col':",COLUMN(BCTinhHinhTaiChinh_06105!D24),",'Row':",ROW(BCTinhHinhTaiChinh_06105!D24),",","'Format':'numberic'",",'Value':'",SUBSTITUTE(BCTinhHinhTaiChinh_06105!D24,"'","\'"),"','TargetCode':''}")</f>
        <v>{'SheetId':'5ca8c4ee-b8a7-4cfd-b34f-43f723c1d20d','UId':'1cc19574-a596-49ed-abda-59329314ed5a','Col':4,'Row':24,'Format':'numberic','Value':'0','TargetCode':''}</v>
      </c>
    </row>
    <row r="244" spans="1:1">
      <c r="A244" t="str">
        <f>CONCATENATE("{'SheetId':'5ca8c4ee-b8a7-4cfd-b34f-43f723c1d20d'",",","'UId':'078568e9-620f-436b-bc66-ca4eaa29bcd7'",",'Col':",COLUMN(BCTinhHinhTaiChinh_06105!E24),",'Row':",ROW(BCTinhHinhTaiChinh_06105!E24),",","'Format':'numberic'",",'Value':'",SUBSTITUTE(BCTinhHinhTaiChinh_06105!E24,"'","\'"),"','TargetCode':''}")</f>
        <v>{'SheetId':'5ca8c4ee-b8a7-4cfd-b34f-43f723c1d20d','UId':'078568e9-620f-436b-bc66-ca4eaa29bcd7','Col':5,'Row':24,'Format':'numberic','Value':'0','TargetCode':''}</v>
      </c>
    </row>
    <row r="245" spans="1:1">
      <c r="A245" t="str">
        <f>CONCATENATE("{'SheetId':'5ca8c4ee-b8a7-4cfd-b34f-43f723c1d20d'",",","'UId':'f399e73b-8932-4052-af2c-60430a24d9a4'",",'Col':",COLUMN(BCTinhHinhTaiChinh_06105!C25),",'Row':",ROW(BCTinhHinhTaiChinh_06105!C25),",","'Format':'string'",",'Value':'",SUBSTITUTE(BCTinhHinhTaiChinh_06105!C25,"'","\'"),"','TargetCode':''}")</f>
        <v>{'SheetId':'5ca8c4ee-b8a7-4cfd-b34f-43f723c1d20d','UId':'f399e73b-8932-4052-af2c-60430a24d9a4','Col':3,'Row':25,'Format':'string','Value':'','TargetCode':''}</v>
      </c>
    </row>
    <row r="246" spans="1:1">
      <c r="A246" t="str">
        <f>CONCATENATE("{'SheetId':'5ca8c4ee-b8a7-4cfd-b34f-43f723c1d20d'",",","'UId':'9084a6ca-8099-40ed-ae15-d176f5575c78'",",'Col':",COLUMN(BCTinhHinhTaiChinh_06105!D25),",'Row':",ROW(BCTinhHinhTaiChinh_06105!D25),",","'Format':'numberic'",",'Value':'",SUBSTITUTE(BCTinhHinhTaiChinh_06105!D25,"'","\'"),"','TargetCode':''}")</f>
        <v>{'SheetId':'5ca8c4ee-b8a7-4cfd-b34f-43f723c1d20d','UId':'9084a6ca-8099-40ed-ae15-d176f5575c78','Col':4,'Row':25,'Format':'numberic','Value':'0','TargetCode':''}</v>
      </c>
    </row>
    <row r="247" spans="1:1">
      <c r="A247" t="str">
        <f>CONCATENATE("{'SheetId':'5ca8c4ee-b8a7-4cfd-b34f-43f723c1d20d'",",","'UId':'2b8654a5-fa3a-47e2-b6aa-d98b3ab50717'",",'Col':",COLUMN(BCTinhHinhTaiChinh_06105!E25),",'Row':",ROW(BCTinhHinhTaiChinh_06105!E25),",","'Format':'numberic'",",'Value':'",SUBSTITUTE(BCTinhHinhTaiChinh_06105!E25,"'","\'"),"','TargetCode':''}")</f>
        <v>{'SheetId':'5ca8c4ee-b8a7-4cfd-b34f-43f723c1d20d','UId':'2b8654a5-fa3a-47e2-b6aa-d98b3ab50717','Col':5,'Row':25,'Format':'numberic','Value':'0','TargetCode':''}</v>
      </c>
    </row>
    <row r="248" spans="1:1">
      <c r="A248" t="str">
        <f>CONCATENATE("{'SheetId':'5ca8c4ee-b8a7-4cfd-b34f-43f723c1d20d'",",","'UId':'2621a98e-b5b9-4b86-9345-1bc31102a122'",",'Col':",COLUMN(BCTinhHinhTaiChinh_06105!C26),",'Row':",ROW(BCTinhHinhTaiChinh_06105!C26),",","'Format':'string'",",'Value':'",SUBSTITUTE(BCTinhHinhTaiChinh_06105!C26,"'","\'"),"','TargetCode':''}")</f>
        <v>{'SheetId':'5ca8c4ee-b8a7-4cfd-b34f-43f723c1d20d','UId':'2621a98e-b5b9-4b86-9345-1bc31102a122','Col':3,'Row':26,'Format':'string','Value':'','TargetCode':''}</v>
      </c>
    </row>
    <row r="249" spans="1:1">
      <c r="A249" t="str">
        <f>CONCATENATE("{'SheetId':'5ca8c4ee-b8a7-4cfd-b34f-43f723c1d20d'",",","'UId':'46e43a64-dfba-43ba-b9bf-ecc5f455b6ba'",",'Col':",COLUMN(BCTinhHinhTaiChinh_06105!D26),",'Row':",ROW(BCTinhHinhTaiChinh_06105!D26),",","'Format':'numberic'",",'Value':'",SUBSTITUTE(BCTinhHinhTaiChinh_06105!D26,"'","\'"),"','TargetCode':''}")</f>
        <v>{'SheetId':'5ca8c4ee-b8a7-4cfd-b34f-43f723c1d20d','UId':'46e43a64-dfba-43ba-b9bf-ecc5f455b6ba','Col':4,'Row':26,'Format':'numberic','Value':'3467764384','TargetCode':''}</v>
      </c>
    </row>
    <row r="250" spans="1:1">
      <c r="A250" t="str">
        <f>CONCATENATE("{'SheetId':'5ca8c4ee-b8a7-4cfd-b34f-43f723c1d20d'",",","'UId':'dcd217af-892e-4c67-b714-3319381669b6'",",'Col':",COLUMN(BCTinhHinhTaiChinh_06105!E26),",'Row':",ROW(BCTinhHinhTaiChinh_06105!E26),",","'Format':'numberic'",",'Value':'",SUBSTITUTE(BCTinhHinhTaiChinh_06105!E26,"'","\'"),"','TargetCode':''}")</f>
        <v>{'SheetId':'5ca8c4ee-b8a7-4cfd-b34f-43f723c1d20d','UId':'dcd217af-892e-4c67-b714-3319381669b6','Col':5,'Row':26,'Format':'numberic','Value':'3570166576','TargetCode':''}</v>
      </c>
    </row>
    <row r="251" spans="1:1">
      <c r="A251" t="str">
        <f>CONCATENATE("{'SheetId':'5ca8c4ee-b8a7-4cfd-b34f-43f723c1d20d'",",","'UId':'24f15ee5-1c58-4e36-8ed6-9bbf681292f1'",",'Col':",COLUMN(BCTinhHinhTaiChinh_06105!C27),",'Row':",ROW(BCTinhHinhTaiChinh_06105!C27),",","'Format':'string'",",'Value':'",SUBSTITUTE(BCTinhHinhTaiChinh_06105!C27,"'","\'"),"','TargetCode':''}")</f>
        <v>{'SheetId':'5ca8c4ee-b8a7-4cfd-b34f-43f723c1d20d','UId':'24f15ee5-1c58-4e36-8ed6-9bbf681292f1','Col':3,'Row':27,'Format':'string','Value':'','TargetCode':''}</v>
      </c>
    </row>
    <row r="252" spans="1:1">
      <c r="A252" t="str">
        <f>CONCATENATE("{'SheetId':'5ca8c4ee-b8a7-4cfd-b34f-43f723c1d20d'",",","'UId':'f0778966-a99c-4665-b139-914f0259e878'",",'Col':",COLUMN(BCTinhHinhTaiChinh_06105!D27),",'Row':",ROW(BCTinhHinhTaiChinh_06105!D27),",","'Format':'numberic'",",'Value':'",SUBSTITUTE(BCTinhHinhTaiChinh_06105!D27,"'","\'"),"','TargetCode':''}")</f>
        <v>{'SheetId':'5ca8c4ee-b8a7-4cfd-b34f-43f723c1d20d','UId':'f0778966-a99c-4665-b139-914f0259e878','Col':4,'Row':27,'Format':'numberic','Value':'0','TargetCode':''}</v>
      </c>
    </row>
    <row r="253" spans="1:1">
      <c r="A253" t="str">
        <f>CONCATENATE("{'SheetId':'5ca8c4ee-b8a7-4cfd-b34f-43f723c1d20d'",",","'UId':'c30cedec-5164-4afb-80a6-60bab974327e'",",'Col':",COLUMN(BCTinhHinhTaiChinh_06105!E27),",'Row':",ROW(BCTinhHinhTaiChinh_06105!E27),",","'Format':'numberic'",",'Value':'",SUBSTITUTE(BCTinhHinhTaiChinh_06105!E27,"'","\'"),"','TargetCode':''}")</f>
        <v>{'SheetId':'5ca8c4ee-b8a7-4cfd-b34f-43f723c1d20d','UId':'c30cedec-5164-4afb-80a6-60bab974327e','Col':5,'Row':27,'Format':'numberic','Value':'0','TargetCode':''}</v>
      </c>
    </row>
    <row r="254" spans="1:1">
      <c r="A254" t="str">
        <f>CONCATENATE("{'SheetId':'5ca8c4ee-b8a7-4cfd-b34f-43f723c1d20d'",",","'UId':'1fda622d-188d-47be-93f1-33ff2dabe2e4'",",'Col':",COLUMN(BCTinhHinhTaiChinh_06105!C28),",'Row':",ROW(BCTinhHinhTaiChinh_06105!C28),",","'Format':'string'",",'Value':'",SUBSTITUTE(BCTinhHinhTaiChinh_06105!C28,"'","\'"),"','TargetCode':''}")</f>
        <v>{'SheetId':'5ca8c4ee-b8a7-4cfd-b34f-43f723c1d20d','UId':'1fda622d-188d-47be-93f1-33ff2dabe2e4','Col':3,'Row':28,'Format':'string','Value':'','TargetCode':''}</v>
      </c>
    </row>
    <row r="255" spans="1:1">
      <c r="A255" t="str">
        <f>CONCATENATE("{'SheetId':'5ca8c4ee-b8a7-4cfd-b34f-43f723c1d20d'",",","'UId':'f5903d18-a6f2-4e64-b1bc-f205ca12ab6e'",",'Col':",COLUMN(BCTinhHinhTaiChinh_06105!D28),",'Row':",ROW(BCTinhHinhTaiChinh_06105!D28),",","'Format':'numberic'",",'Value':'",SUBSTITUTE(BCTinhHinhTaiChinh_06105!D28,"'","\'"),"','TargetCode':''}")</f>
        <v>{'SheetId':'5ca8c4ee-b8a7-4cfd-b34f-43f723c1d20d','UId':'f5903d18-a6f2-4e64-b1bc-f205ca12ab6e','Col':4,'Row':28,'Format':'numberic','Value':'0','TargetCode':''}</v>
      </c>
    </row>
    <row r="256" spans="1:1">
      <c r="A256" t="str">
        <f>CONCATENATE("{'SheetId':'5ca8c4ee-b8a7-4cfd-b34f-43f723c1d20d'",",","'UId':'2770d90b-1e87-40ec-b31b-002655263523'",",'Col':",COLUMN(BCTinhHinhTaiChinh_06105!E28),",'Row':",ROW(BCTinhHinhTaiChinh_06105!E28),",","'Format':'numberic'",",'Value':'",SUBSTITUTE(BCTinhHinhTaiChinh_06105!E28,"'","\'"),"','TargetCode':''}")</f>
        <v>{'SheetId':'5ca8c4ee-b8a7-4cfd-b34f-43f723c1d20d','UId':'2770d90b-1e87-40ec-b31b-002655263523','Col':5,'Row':28,'Format':'numberic','Value':'0','TargetCode':''}</v>
      </c>
    </row>
    <row r="257" spans="1:1">
      <c r="A257" t="str">
        <f>CONCATENATE("{'SheetId':'5ca8c4ee-b8a7-4cfd-b34f-43f723c1d20d'",",","'UId':'39614021-0dad-451b-9f4b-a02ee2feca3b'",",'Col':",COLUMN(BCTinhHinhTaiChinh_06105!C29),",'Row':",ROW(BCTinhHinhTaiChinh_06105!C29),",","'Format':'string'",",'Value':'",SUBSTITUTE(BCTinhHinhTaiChinh_06105!C29,"'","\'"),"','TargetCode':''}")</f>
        <v>{'SheetId':'5ca8c4ee-b8a7-4cfd-b34f-43f723c1d20d','UId':'39614021-0dad-451b-9f4b-a02ee2feca3b','Col':3,'Row':29,'Format':'string','Value':'','TargetCode':''}</v>
      </c>
    </row>
    <row r="258" spans="1:1">
      <c r="A258" t="str">
        <f>CONCATENATE("{'SheetId':'5ca8c4ee-b8a7-4cfd-b34f-43f723c1d20d'",",","'UId':'0cb41851-570e-445c-ad6c-14a8d02aaf12'",",'Col':",COLUMN(BCTinhHinhTaiChinh_06105!D29),",'Row':",ROW(BCTinhHinhTaiChinh_06105!D29),",","'Format':'numberic'",",'Value':'",SUBSTITUTE(BCTinhHinhTaiChinh_06105!D29,"'","\'"),"','TargetCode':''}")</f>
        <v>{'SheetId':'5ca8c4ee-b8a7-4cfd-b34f-43f723c1d20d','UId':'0cb41851-570e-445c-ad6c-14a8d02aaf12','Col':4,'Row':29,'Format':'numberic','Value':'0','TargetCode':''}</v>
      </c>
    </row>
    <row r="259" spans="1:1">
      <c r="A259" t="str">
        <f>CONCATENATE("{'SheetId':'5ca8c4ee-b8a7-4cfd-b34f-43f723c1d20d'",",","'UId':'69517419-315f-4faf-8a12-3ff114244cb7'",",'Col':",COLUMN(BCTinhHinhTaiChinh_06105!E29),",'Row':",ROW(BCTinhHinhTaiChinh_06105!E29),",","'Format':'numberic'",",'Value':'",SUBSTITUTE(BCTinhHinhTaiChinh_06105!E29,"'","\'"),"','TargetCode':''}")</f>
        <v>{'SheetId':'5ca8c4ee-b8a7-4cfd-b34f-43f723c1d20d','UId':'69517419-315f-4faf-8a12-3ff114244cb7','Col':5,'Row':29,'Format':'numberic','Value':'0','TargetCode':''}</v>
      </c>
    </row>
    <row r="260" spans="1:1">
      <c r="A260" t="str">
        <f>CONCATENATE("{'SheetId':'5ca8c4ee-b8a7-4cfd-b34f-43f723c1d20d'",",","'UId':'559575e2-8c12-4028-b00e-a24da93ec358'",",'Col':",COLUMN(BCTinhHinhTaiChinh_06105!C30),",'Row':",ROW(BCTinhHinhTaiChinh_06105!C30),",","'Format':'string'",",'Value':'",SUBSTITUTE(BCTinhHinhTaiChinh_06105!C30,"'","\'"),"','TargetCode':''}")</f>
        <v>{'SheetId':'5ca8c4ee-b8a7-4cfd-b34f-43f723c1d20d','UId':'559575e2-8c12-4028-b00e-a24da93ec358','Col':3,'Row':30,'Format':'string','Value':'','TargetCode':''}</v>
      </c>
    </row>
    <row r="261" spans="1:1">
      <c r="A261" t="str">
        <f>CONCATENATE("{'SheetId':'5ca8c4ee-b8a7-4cfd-b34f-43f723c1d20d'",",","'UId':'f2d74e95-7333-4626-93ee-94cf504fa2a9'",",'Col':",COLUMN(BCTinhHinhTaiChinh_06105!D30),",'Row':",ROW(BCTinhHinhTaiChinh_06105!D30),",","'Format':'numberic'",",'Value':'",SUBSTITUTE(BCTinhHinhTaiChinh_06105!D30,"'","\'"),"','TargetCode':''}")</f>
        <v>{'SheetId':'5ca8c4ee-b8a7-4cfd-b34f-43f723c1d20d','UId':'f2d74e95-7333-4626-93ee-94cf504fa2a9','Col':4,'Row':30,'Format':'numberic','Value':'0','TargetCode':''}</v>
      </c>
    </row>
    <row r="262" spans="1:1">
      <c r="A262" t="str">
        <f>CONCATENATE("{'SheetId':'5ca8c4ee-b8a7-4cfd-b34f-43f723c1d20d'",",","'UId':'24ce480c-7a68-4534-b2b8-2ab01fb7aba9'",",'Col':",COLUMN(BCTinhHinhTaiChinh_06105!E30),",'Row':",ROW(BCTinhHinhTaiChinh_06105!E30),",","'Format':'numberic'",",'Value':'",SUBSTITUTE(BCTinhHinhTaiChinh_06105!E30,"'","\'"),"','TargetCode':''}")</f>
        <v>{'SheetId':'5ca8c4ee-b8a7-4cfd-b34f-43f723c1d20d','UId':'24ce480c-7a68-4534-b2b8-2ab01fb7aba9','Col':5,'Row':30,'Format':'numberic','Value':'0','TargetCode':''}</v>
      </c>
    </row>
    <row r="263" spans="1:1">
      <c r="A263" t="str">
        <f>CONCATENATE("{'SheetId':'5ca8c4ee-b8a7-4cfd-b34f-43f723c1d20d'",",","'UId':'be64ad04-78ab-4d85-8306-86704ba8a64c'",",'Col':",COLUMN(BCTinhHinhTaiChinh_06105!C31),",'Row':",ROW(BCTinhHinhTaiChinh_06105!C31),",","'Format':'string'",",'Value':'",SUBSTITUTE(BCTinhHinhTaiChinh_06105!C31,"'","\'"),"','TargetCode':''}")</f>
        <v>{'SheetId':'5ca8c4ee-b8a7-4cfd-b34f-43f723c1d20d','UId':'be64ad04-78ab-4d85-8306-86704ba8a64c','Col':3,'Row':31,'Format':'string','Value':'','TargetCode':''}</v>
      </c>
    </row>
    <row r="264" spans="1:1">
      <c r="A264" t="str">
        <f>CONCATENATE("{'SheetId':'5ca8c4ee-b8a7-4cfd-b34f-43f723c1d20d'",",","'UId':'0f673f5b-d298-4fa6-9f0f-e67176ddba22'",",'Col':",COLUMN(BCTinhHinhTaiChinh_06105!D31),",'Row':",ROW(BCTinhHinhTaiChinh_06105!D31),",","'Format':'numberic'",",'Value':'",SUBSTITUTE(BCTinhHinhTaiChinh_06105!D31,"'","\'"),"','TargetCode':''}")</f>
        <v>{'SheetId':'5ca8c4ee-b8a7-4cfd-b34f-43f723c1d20d','UId':'0f673f5b-d298-4fa6-9f0f-e67176ddba22','Col':4,'Row':31,'Format':'numberic','Value':'0','TargetCode':''}</v>
      </c>
    </row>
    <row r="265" spans="1:1">
      <c r="A265" t="str">
        <f>CONCATENATE("{'SheetId':'5ca8c4ee-b8a7-4cfd-b34f-43f723c1d20d'",",","'UId':'bc170c99-f1f0-4594-85a5-ab7842a61335'",",'Col':",COLUMN(BCTinhHinhTaiChinh_06105!E31),",'Row':",ROW(BCTinhHinhTaiChinh_06105!E31),",","'Format':'numberic'",",'Value':'",SUBSTITUTE(BCTinhHinhTaiChinh_06105!E31,"'","\'"),"','TargetCode':''}")</f>
        <v>{'SheetId':'5ca8c4ee-b8a7-4cfd-b34f-43f723c1d20d','UId':'bc170c99-f1f0-4594-85a5-ab7842a61335','Col':5,'Row':31,'Format':'numberic','Value':'0','TargetCode':''}</v>
      </c>
    </row>
    <row r="266" spans="1:1">
      <c r="A266" t="str">
        <f>CONCATENATE("{'SheetId':'5ca8c4ee-b8a7-4cfd-b34f-43f723c1d20d'",",","'UId':'6bf11537-bf9f-40d7-b697-6546e9c9e734'",",'Col':",COLUMN(BCTinhHinhTaiChinh_06105!C32),",'Row':",ROW(BCTinhHinhTaiChinh_06105!C32),",","'Format':'string'",",'Value':'",SUBSTITUTE(BCTinhHinhTaiChinh_06105!C32,"'","\'"),"','TargetCode':''}")</f>
        <v>{'SheetId':'5ca8c4ee-b8a7-4cfd-b34f-43f723c1d20d','UId':'6bf11537-bf9f-40d7-b697-6546e9c9e734','Col':3,'Row':32,'Format':'string','Value':'','TargetCode':''}</v>
      </c>
    </row>
    <row r="267" spans="1:1">
      <c r="A267" t="str">
        <f>CONCATENATE("{'SheetId':'5ca8c4ee-b8a7-4cfd-b34f-43f723c1d20d'",",","'UId':'b8785e29-9136-4539-8226-cf7bab199882'",",'Col':",COLUMN(BCTinhHinhTaiChinh_06105!D32),",'Row':",ROW(BCTinhHinhTaiChinh_06105!D32),",","'Format':'numberic'",",'Value':'",SUBSTITUTE(BCTinhHinhTaiChinh_06105!D32,"'","\'"),"','TargetCode':''}")</f>
        <v>{'SheetId':'5ca8c4ee-b8a7-4cfd-b34f-43f723c1d20d','UId':'b8785e29-9136-4539-8226-cf7bab199882','Col':4,'Row':32,'Format':'numberic','Value':'0','TargetCode':''}</v>
      </c>
    </row>
    <row r="268" spans="1:1">
      <c r="A268" t="str">
        <f>CONCATENATE("{'SheetId':'5ca8c4ee-b8a7-4cfd-b34f-43f723c1d20d'",",","'UId':'0aeca7d7-2111-4c3a-bf20-653a0ba13291'",",'Col':",COLUMN(BCTinhHinhTaiChinh_06105!E32),",'Row':",ROW(BCTinhHinhTaiChinh_06105!E32),",","'Format':'numberic'",",'Value':'",SUBSTITUTE(BCTinhHinhTaiChinh_06105!E32,"'","\'"),"','TargetCode':''}")</f>
        <v>{'SheetId':'5ca8c4ee-b8a7-4cfd-b34f-43f723c1d20d','UId':'0aeca7d7-2111-4c3a-bf20-653a0ba13291','Col':5,'Row':32,'Format':'numberic','Value':'0','TargetCode':''}</v>
      </c>
    </row>
    <row r="269" spans="1:1">
      <c r="A269" t="str">
        <f>CONCATENATE("{'SheetId':'5ca8c4ee-b8a7-4cfd-b34f-43f723c1d20d'",",","'UId':'77bddd50-ffb4-4706-981b-a256dd129d5c'",",'Col':",COLUMN(BCTinhHinhTaiChinh_06105!C33),",'Row':",ROW(BCTinhHinhTaiChinh_06105!C33),",","'Format':'string'",",'Value':'",SUBSTITUTE(BCTinhHinhTaiChinh_06105!C33,"'","\'"),"','TargetCode':''}")</f>
        <v>{'SheetId':'5ca8c4ee-b8a7-4cfd-b34f-43f723c1d20d','UId':'77bddd50-ffb4-4706-981b-a256dd129d5c','Col':3,'Row':33,'Format':'string','Value':'','TargetCode':''}</v>
      </c>
    </row>
    <row r="270" spans="1:1">
      <c r="A270" t="str">
        <f>CONCATENATE("{'SheetId':'5ca8c4ee-b8a7-4cfd-b34f-43f723c1d20d'",",","'UId':'776d4786-e924-4c37-8989-758787a84a73'",",'Col':",COLUMN(BCTinhHinhTaiChinh_06105!D33),",'Row':",ROW(BCTinhHinhTaiChinh_06105!D33),",","'Format':'numberic'",",'Value':'",SUBSTITUTE(BCTinhHinhTaiChinh_06105!D33,"'","\'"),"','TargetCode':''}")</f>
        <v>{'SheetId':'5ca8c4ee-b8a7-4cfd-b34f-43f723c1d20d','UId':'776d4786-e924-4c37-8989-758787a84a73','Col':4,'Row':33,'Format':'numberic','Value':'0','TargetCode':''}</v>
      </c>
    </row>
    <row r="271" spans="1:1">
      <c r="A271" t="str">
        <f>CONCATENATE("{'SheetId':'5ca8c4ee-b8a7-4cfd-b34f-43f723c1d20d'",",","'UId':'c5085a09-0f8c-43d3-bc0b-15199ce12055'",",'Col':",COLUMN(BCTinhHinhTaiChinh_06105!E33),",'Row':",ROW(BCTinhHinhTaiChinh_06105!E33),",","'Format':'numberic'",",'Value':'",SUBSTITUTE(BCTinhHinhTaiChinh_06105!E33,"'","\'"),"','TargetCode':''}")</f>
        <v>{'SheetId':'5ca8c4ee-b8a7-4cfd-b34f-43f723c1d20d','UId':'c5085a09-0f8c-43d3-bc0b-15199ce12055','Col':5,'Row':33,'Format':'numberic','Value':'0','TargetCode':''}</v>
      </c>
    </row>
    <row r="272" spans="1:1">
      <c r="A272" t="str">
        <f>CONCATENATE("{'SheetId':'5ca8c4ee-b8a7-4cfd-b34f-43f723c1d20d'",",","'UId':'dad048e0-4c6c-4070-a5b3-d9b5c0c10c90'",",'Col':",COLUMN(BCTinhHinhTaiChinh_06105!C34),",'Row':",ROW(BCTinhHinhTaiChinh_06105!C34),",","'Format':'string'",",'Value':'",SUBSTITUTE(BCTinhHinhTaiChinh_06105!C34,"'","\'"),"','TargetCode':''}")</f>
        <v>{'SheetId':'5ca8c4ee-b8a7-4cfd-b34f-43f723c1d20d','UId':'dad048e0-4c6c-4070-a5b3-d9b5c0c10c90','Col':3,'Row':34,'Format':'string','Value':'','TargetCode':''}</v>
      </c>
    </row>
    <row r="273" spans="1:1">
      <c r="A273" t="str">
        <f>CONCATENATE("{'SheetId':'5ca8c4ee-b8a7-4cfd-b34f-43f723c1d20d'",",","'UId':'b4372668-0a1e-41fc-9997-88d70fbd3f1c'",",'Col':",COLUMN(BCTinhHinhTaiChinh_06105!D34),",'Row':",ROW(BCTinhHinhTaiChinh_06105!D34),",","'Format':'numberic'",",'Value':'",SUBSTITUTE(BCTinhHinhTaiChinh_06105!D34,"'","\'"),"','TargetCode':''}")</f>
        <v>{'SheetId':'5ca8c4ee-b8a7-4cfd-b34f-43f723c1d20d','UId':'b4372668-0a1e-41fc-9997-88d70fbd3f1c','Col':4,'Row':34,'Format':'numberic','Value':'3467764384','TargetCode':''}</v>
      </c>
    </row>
    <row r="274" spans="1:1">
      <c r="A274" t="str">
        <f>CONCATENATE("{'SheetId':'5ca8c4ee-b8a7-4cfd-b34f-43f723c1d20d'",",","'UId':'b3e6f0f8-39ef-4244-88ea-6cc64ad3a9c2'",",'Col':",COLUMN(BCTinhHinhTaiChinh_06105!E34),",'Row':",ROW(BCTinhHinhTaiChinh_06105!E34),",","'Format':'numberic'",",'Value':'",SUBSTITUTE(BCTinhHinhTaiChinh_06105!E34,"'","\'"),"','TargetCode':''}")</f>
        <v>{'SheetId':'5ca8c4ee-b8a7-4cfd-b34f-43f723c1d20d','UId':'b3e6f0f8-39ef-4244-88ea-6cc64ad3a9c2','Col':5,'Row':34,'Format':'numberic','Value':'3570166576','TargetCode':''}</v>
      </c>
    </row>
    <row r="275" spans="1:1">
      <c r="A275" t="str">
        <f>CONCATENATE("{'SheetId':'5ca8c4ee-b8a7-4cfd-b34f-43f723c1d20d'",",","'UId':'410563df-1cad-4a09-bfb8-2ef0ebf30467'",",'Col':",COLUMN(BCTinhHinhTaiChinh_06105!C35),",'Row':",ROW(BCTinhHinhTaiChinh_06105!C35),",","'Format':'string'",",'Value':'",SUBSTITUTE(BCTinhHinhTaiChinh_06105!C35,"'","\'"),"','TargetCode':''}")</f>
        <v>{'SheetId':'5ca8c4ee-b8a7-4cfd-b34f-43f723c1d20d','UId':'410563df-1cad-4a09-bfb8-2ef0ebf30467','Col':3,'Row':35,'Format':'string','Value':'','TargetCode':''}</v>
      </c>
    </row>
    <row r="276" spans="1:1">
      <c r="A276" t="str">
        <f>CONCATENATE("{'SheetId':'5ca8c4ee-b8a7-4cfd-b34f-43f723c1d20d'",",","'UId':'6eed3484-d4bc-4f35-804c-f9afc0b337cd'",",'Col':",COLUMN(BCTinhHinhTaiChinh_06105!D35),",'Row':",ROW(BCTinhHinhTaiChinh_06105!D35),",","'Format':'numberic'",",'Value':'",SUBSTITUTE(BCTinhHinhTaiChinh_06105!D35,"'","\'"),"','TargetCode':''}")</f>
        <v>{'SheetId':'5ca8c4ee-b8a7-4cfd-b34f-43f723c1d20d','UId':'6eed3484-d4bc-4f35-804c-f9afc0b337cd','Col':4,'Row':35,'Format':'numberic','Value':'0','TargetCode':''}</v>
      </c>
    </row>
    <row r="277" spans="1:1">
      <c r="A277" t="str">
        <f>CONCATENATE("{'SheetId':'5ca8c4ee-b8a7-4cfd-b34f-43f723c1d20d'",",","'UId':'2d51cac2-506a-4398-9cfc-abf8e8ec2009'",",'Col':",COLUMN(BCTinhHinhTaiChinh_06105!E35),",'Row':",ROW(BCTinhHinhTaiChinh_06105!E35),",","'Format':'numberic'",",'Value':'",SUBSTITUTE(BCTinhHinhTaiChinh_06105!E35,"'","\'"),"','TargetCode':''}")</f>
        <v>{'SheetId':'5ca8c4ee-b8a7-4cfd-b34f-43f723c1d20d','UId':'2d51cac2-506a-4398-9cfc-abf8e8ec2009','Col':5,'Row':35,'Format':'numberic','Value':'0','TargetCode':''}</v>
      </c>
    </row>
    <row r="278" spans="1:1">
      <c r="A278" t="str">
        <f>CONCATENATE("{'SheetId':'5ca8c4ee-b8a7-4cfd-b34f-43f723c1d20d'",",","'UId':'7a2b6b8d-b62e-4582-8262-1d63c3b7c83f'",",'Col':",COLUMN(BCTinhHinhTaiChinh_06105!C36),",'Row':",ROW(BCTinhHinhTaiChinh_06105!C36),",","'Format':'string'",",'Value':'",SUBSTITUTE(BCTinhHinhTaiChinh_06105!C36,"'","\'"),"','TargetCode':''}")</f>
        <v>{'SheetId':'5ca8c4ee-b8a7-4cfd-b34f-43f723c1d20d','UId':'7a2b6b8d-b62e-4582-8262-1d63c3b7c83f','Col':3,'Row':36,'Format':'string','Value':'','TargetCode':''}</v>
      </c>
    </row>
    <row r="279" spans="1:1">
      <c r="A279" t="str">
        <f>CONCATENATE("{'SheetId':'5ca8c4ee-b8a7-4cfd-b34f-43f723c1d20d'",",","'UId':'9e7fc8c4-7116-4248-bf32-6812d8d17884'",",'Col':",COLUMN(BCTinhHinhTaiChinh_06105!D36),",'Row':",ROW(BCTinhHinhTaiChinh_06105!D36),",","'Format':'numberic'",",'Value':'",SUBSTITUTE(BCTinhHinhTaiChinh_06105!D36,"'","\'"),"','TargetCode':''}")</f>
        <v>{'SheetId':'5ca8c4ee-b8a7-4cfd-b34f-43f723c1d20d','UId':'9e7fc8c4-7116-4248-bf32-6812d8d17884','Col':4,'Row':36,'Format':'numberic','Value':'0','TargetCode':''}</v>
      </c>
    </row>
    <row r="280" spans="1:1">
      <c r="A280" t="str">
        <f>CONCATENATE("{'SheetId':'5ca8c4ee-b8a7-4cfd-b34f-43f723c1d20d'",",","'UId':'3478b069-834b-4dae-9394-003d07b0c62e'",",'Col':",COLUMN(BCTinhHinhTaiChinh_06105!E36),",'Row':",ROW(BCTinhHinhTaiChinh_06105!E36),",","'Format':'numberic'",",'Value':'",SUBSTITUTE(BCTinhHinhTaiChinh_06105!E36,"'","\'"),"','TargetCode':''}")</f>
        <v>{'SheetId':'5ca8c4ee-b8a7-4cfd-b34f-43f723c1d20d','UId':'3478b069-834b-4dae-9394-003d07b0c62e','Col':5,'Row':36,'Format':'numberic','Value':'0','TargetCode':''}</v>
      </c>
    </row>
    <row r="281" spans="1:1">
      <c r="A281" t="str">
        <f>CONCATENATE("{'SheetId':'5ca8c4ee-b8a7-4cfd-b34f-43f723c1d20d'",",","'UId':'29ce7101-bc4e-4d04-a8f5-cb7d51ed8ad8'",",'Col':",COLUMN(BCTinhHinhTaiChinh_06105!C37),",'Row':",ROW(BCTinhHinhTaiChinh_06105!C37),",","'Format':'string'",",'Value':'",SUBSTITUTE(BCTinhHinhTaiChinh_06105!C37,"'","\'"),"','TargetCode':''}")</f>
        <v>{'SheetId':'5ca8c4ee-b8a7-4cfd-b34f-43f723c1d20d','UId':'29ce7101-bc4e-4d04-a8f5-cb7d51ed8ad8','Col':3,'Row':37,'Format':'string','Value':'','TargetCode':''}</v>
      </c>
    </row>
    <row r="282" spans="1:1">
      <c r="A282" t="str">
        <f>CONCATENATE("{'SheetId':'5ca8c4ee-b8a7-4cfd-b34f-43f723c1d20d'",",","'UId':'17a56b92-c365-41d8-89ea-786c171e3ec2'",",'Col':",COLUMN(BCTinhHinhTaiChinh_06105!D37),",'Row':",ROW(BCTinhHinhTaiChinh_06105!D37),",","'Format':'numberic'",",'Value':'",SUBSTITUTE(BCTinhHinhTaiChinh_06105!D37,"'","\'"),"','TargetCode':''}")</f>
        <v>{'SheetId':'5ca8c4ee-b8a7-4cfd-b34f-43f723c1d20d','UId':'17a56b92-c365-41d8-89ea-786c171e3ec2','Col':4,'Row':37,'Format':'numberic','Value':'0','TargetCode':''}</v>
      </c>
    </row>
    <row r="283" spans="1:1">
      <c r="A283" t="str">
        <f>CONCATENATE("{'SheetId':'5ca8c4ee-b8a7-4cfd-b34f-43f723c1d20d'",",","'UId':'789be0a9-2df4-45c3-b6c1-7ca2f80cd015'",",'Col':",COLUMN(BCTinhHinhTaiChinh_06105!E37),",'Row':",ROW(BCTinhHinhTaiChinh_06105!E37),",","'Format':'numberic'",",'Value':'",SUBSTITUTE(BCTinhHinhTaiChinh_06105!E37,"'","\'"),"','TargetCode':''}")</f>
        <v>{'SheetId':'5ca8c4ee-b8a7-4cfd-b34f-43f723c1d20d','UId':'789be0a9-2df4-45c3-b6c1-7ca2f80cd015','Col':5,'Row':37,'Format':'numberic','Value':'0','TargetCode':''}</v>
      </c>
    </row>
    <row r="284" spans="1:1">
      <c r="A284" t="str">
        <f>CONCATENATE("{'SheetId':'5ca8c4ee-b8a7-4cfd-b34f-43f723c1d20d'",",","'UId':'fdc9a561-e4a9-4feb-83b7-c405d857615c'",",'Col':",COLUMN(BCTinhHinhTaiChinh_06105!C38),",'Row':",ROW(BCTinhHinhTaiChinh_06105!C38),",","'Format':'string'",",'Value':'",SUBSTITUTE(BCTinhHinhTaiChinh_06105!C38,"'","\'"),"','TargetCode':''}")</f>
        <v>{'SheetId':'5ca8c4ee-b8a7-4cfd-b34f-43f723c1d20d','UId':'fdc9a561-e4a9-4feb-83b7-c405d857615c','Col':3,'Row':38,'Format':'string','Value':'','TargetCode':''}</v>
      </c>
    </row>
    <row r="285" spans="1:1">
      <c r="A285" t="str">
        <f>CONCATENATE("{'SheetId':'5ca8c4ee-b8a7-4cfd-b34f-43f723c1d20d'",",","'UId':'64548593-35e3-4ccf-9736-13141cd4a9c4'",",'Col':",COLUMN(BCTinhHinhTaiChinh_06105!D38),",'Row':",ROW(BCTinhHinhTaiChinh_06105!D38),",","'Format':'numberic'",",'Value':'",SUBSTITUTE(BCTinhHinhTaiChinh_06105!D38,"'","\'"),"','TargetCode':''}")</f>
        <v>{'SheetId':'5ca8c4ee-b8a7-4cfd-b34f-43f723c1d20d','UId':'64548593-35e3-4ccf-9736-13141cd4a9c4','Col':4,'Row':38,'Format':'numberic','Value':'3174832877','TargetCode':''}</v>
      </c>
    </row>
    <row r="286" spans="1:1">
      <c r="A286" t="str">
        <f>CONCATENATE("{'SheetId':'5ca8c4ee-b8a7-4cfd-b34f-43f723c1d20d'",",","'UId':'f019a5a0-823b-444f-810a-e9077da9e98e'",",'Col':",COLUMN(BCTinhHinhTaiChinh_06105!E38),",'Row':",ROW(BCTinhHinhTaiChinh_06105!E38),",","'Format':'numberic'",",'Value':'",SUBSTITUTE(BCTinhHinhTaiChinh_06105!E38,"'","\'"),"','TargetCode':''}")</f>
        <v>{'SheetId':'5ca8c4ee-b8a7-4cfd-b34f-43f723c1d20d','UId':'f019a5a0-823b-444f-810a-e9077da9e98e','Col':5,'Row':38,'Format':'numberic','Value':'2982084384','TargetCode':''}</v>
      </c>
    </row>
    <row r="287" spans="1:1">
      <c r="A287" t="str">
        <f>CONCATENATE("{'SheetId':'5ca8c4ee-b8a7-4cfd-b34f-43f723c1d20d'",",","'UId':'c15ad083-71d4-4998-a84f-9cb6e4bfb4cd'",",'Col':",COLUMN(BCTinhHinhTaiChinh_06105!C39),",'Row':",ROW(BCTinhHinhTaiChinh_06105!C39),",","'Format':'string'",",'Value':'",SUBSTITUTE(BCTinhHinhTaiChinh_06105!C39,"'","\'"),"','TargetCode':''}")</f>
        <v>{'SheetId':'5ca8c4ee-b8a7-4cfd-b34f-43f723c1d20d','UId':'c15ad083-71d4-4998-a84f-9cb6e4bfb4cd','Col':3,'Row':39,'Format':'string','Value':'','TargetCode':''}</v>
      </c>
    </row>
    <row r="288" spans="1:1">
      <c r="A288" t="str">
        <f>CONCATENATE("{'SheetId':'5ca8c4ee-b8a7-4cfd-b34f-43f723c1d20d'",",","'UId':'f4c59817-64fd-4c21-bf81-9d5d241629b9'",",'Col':",COLUMN(BCTinhHinhTaiChinh_06105!D39),",'Row':",ROW(BCTinhHinhTaiChinh_06105!D39),",","'Format':'numberic'",",'Value':'",SUBSTITUTE(BCTinhHinhTaiChinh_06105!D39,"'","\'"),"','TargetCode':''}")</f>
        <v>{'SheetId':'5ca8c4ee-b8a7-4cfd-b34f-43f723c1d20d','UId':'f4c59817-64fd-4c21-bf81-9d5d241629b9','Col':4,'Row':39,'Format':'numberic','Value':'292931507','TargetCode':''}</v>
      </c>
    </row>
    <row r="289" spans="1:1">
      <c r="A289" t="str">
        <f>CONCATENATE("{'SheetId':'5ca8c4ee-b8a7-4cfd-b34f-43f723c1d20d'",",","'UId':'185b24e7-28df-4fbe-ae69-ced65e6de3bc'",",'Col':",COLUMN(BCTinhHinhTaiChinh_06105!E39),",'Row':",ROW(BCTinhHinhTaiChinh_06105!E39),",","'Format':'numberic'",",'Value':'",SUBSTITUTE(BCTinhHinhTaiChinh_06105!E39,"'","\'"),"','TargetCode':''}")</f>
        <v>{'SheetId':'5ca8c4ee-b8a7-4cfd-b34f-43f723c1d20d','UId':'185b24e7-28df-4fbe-ae69-ced65e6de3bc','Col':5,'Row':39,'Format':'numberic','Value':'588082192','TargetCode':''}</v>
      </c>
    </row>
    <row r="290" spans="1:1">
      <c r="A290" t="str">
        <f>CONCATENATE("{'SheetId':'5ca8c4ee-b8a7-4cfd-b34f-43f723c1d20d'",",","'UId':'a86c3edb-607f-4689-83a3-8fb88aaad554'",",'Col':",COLUMN(BCTinhHinhTaiChinh_06105!C40),",'Row':",ROW(BCTinhHinhTaiChinh_06105!C40),",","'Format':'string'",",'Value':'",SUBSTITUTE(BCTinhHinhTaiChinh_06105!C40,"'","\'"),"','TargetCode':''}")</f>
        <v>{'SheetId':'5ca8c4ee-b8a7-4cfd-b34f-43f723c1d20d','UId':'a86c3edb-607f-4689-83a3-8fb88aaad554','Col':3,'Row':40,'Format':'string','Value':'','TargetCode':''}</v>
      </c>
    </row>
    <row r="291" spans="1:1">
      <c r="A291" t="str">
        <f>CONCATENATE("{'SheetId':'5ca8c4ee-b8a7-4cfd-b34f-43f723c1d20d'",",","'UId':'ae2dd764-ea73-43c3-aacb-06befafff57e'",",'Col':",COLUMN(BCTinhHinhTaiChinh_06105!D40),",'Row':",ROW(BCTinhHinhTaiChinh_06105!D40),",","'Format':'numberic'",",'Value':'",SUBSTITUTE(BCTinhHinhTaiChinh_06105!D40,"'","\'"),"','TargetCode':''}")</f>
        <v>{'SheetId':'5ca8c4ee-b8a7-4cfd-b34f-43f723c1d20d','UId':'ae2dd764-ea73-43c3-aacb-06befafff57e','Col':4,'Row':40,'Format':'numberic','Value':'0','TargetCode':''}</v>
      </c>
    </row>
    <row r="292" spans="1:1">
      <c r="A292" t="str">
        <f>CONCATENATE("{'SheetId':'5ca8c4ee-b8a7-4cfd-b34f-43f723c1d20d'",",","'UId':'0a08cc13-9e51-4d6e-8d2a-008769d61814'",",'Col':",COLUMN(BCTinhHinhTaiChinh_06105!E40),",'Row':",ROW(BCTinhHinhTaiChinh_06105!E40),",","'Format':'numberic'",",'Value':'",SUBSTITUTE(BCTinhHinhTaiChinh_06105!E40,"'","\'"),"','TargetCode':''}")</f>
        <v>{'SheetId':'5ca8c4ee-b8a7-4cfd-b34f-43f723c1d20d','UId':'0a08cc13-9e51-4d6e-8d2a-008769d61814','Col':5,'Row':40,'Format':'numberic','Value':'0','TargetCode':''}</v>
      </c>
    </row>
    <row r="293" spans="1:1">
      <c r="A293" t="str">
        <f>CONCATENATE("{'SheetId':'5ca8c4ee-b8a7-4cfd-b34f-43f723c1d20d'",",","'UId':'15d71251-b4db-4de3-88d7-b363aa1575ff'",",'Col':",COLUMN(BCTinhHinhTaiChinh_06105!C41),",'Row':",ROW(BCTinhHinhTaiChinh_06105!C41),",","'Format':'string'",",'Value':'",SUBSTITUTE(BCTinhHinhTaiChinh_06105!C41,"'","\'"),"','TargetCode':''}")</f>
        <v>{'SheetId':'5ca8c4ee-b8a7-4cfd-b34f-43f723c1d20d','UId':'15d71251-b4db-4de3-88d7-b363aa1575ff','Col':3,'Row':41,'Format':'string','Value':'','TargetCode':''}</v>
      </c>
    </row>
    <row r="294" spans="1:1">
      <c r="A294" t="str">
        <f>CONCATENATE("{'SheetId':'5ca8c4ee-b8a7-4cfd-b34f-43f723c1d20d'",",","'UId':'eea1d971-324e-4887-9409-9540105158f4'",",'Col':",COLUMN(BCTinhHinhTaiChinh_06105!D41),",'Row':",ROW(BCTinhHinhTaiChinh_06105!D41),",","'Format':'numberic'",",'Value':'",SUBSTITUTE(BCTinhHinhTaiChinh_06105!D41,"'","\'"),"','TargetCode':''}")</f>
        <v>{'SheetId':'5ca8c4ee-b8a7-4cfd-b34f-43f723c1d20d','UId':'eea1d971-324e-4887-9409-9540105158f4','Col':4,'Row':41,'Format':'numberic','Value':'0','TargetCode':''}</v>
      </c>
    </row>
    <row r="295" spans="1:1">
      <c r="A295" t="str">
        <f>CONCATENATE("{'SheetId':'5ca8c4ee-b8a7-4cfd-b34f-43f723c1d20d'",",","'UId':'d496fd68-710c-4f26-bb81-e4e1e2b58bf9'",",'Col':",COLUMN(BCTinhHinhTaiChinh_06105!E41),",'Row':",ROW(BCTinhHinhTaiChinh_06105!E41),",","'Format':'numberic'",",'Value':'",SUBSTITUTE(BCTinhHinhTaiChinh_06105!E41,"'","\'"),"','TargetCode':''}")</f>
        <v>{'SheetId':'5ca8c4ee-b8a7-4cfd-b34f-43f723c1d20d','UId':'d496fd68-710c-4f26-bb81-e4e1e2b58bf9','Col':5,'Row':41,'Format':'numberic','Value':'0','TargetCode':''}</v>
      </c>
    </row>
    <row r="296" spans="1:1">
      <c r="A296" t="str">
        <f>CONCATENATE("{'SheetId':'5ca8c4ee-b8a7-4cfd-b34f-43f723c1d20d'",",","'UId':'a852af54-bc30-4635-920a-fb6196f1be5e'",",'Col':",COLUMN(BCTinhHinhTaiChinh_06105!C42),",'Row':",ROW(BCTinhHinhTaiChinh_06105!C42),",","'Format':'string'",",'Value':'",SUBSTITUTE(BCTinhHinhTaiChinh_06105!C42,"'","\'"),"','TargetCode':''}")</f>
        <v>{'SheetId':'5ca8c4ee-b8a7-4cfd-b34f-43f723c1d20d','UId':'a852af54-bc30-4635-920a-fb6196f1be5e','Col':3,'Row':42,'Format':'string','Value':'','TargetCode':''}</v>
      </c>
    </row>
    <row r="297" spans="1:1">
      <c r="A297" t="str">
        <f>CONCATENATE("{'SheetId':'5ca8c4ee-b8a7-4cfd-b34f-43f723c1d20d'",",","'UId':'27f6e8b4-7b74-46c7-a670-7b5490d87d88'",",'Col':",COLUMN(BCTinhHinhTaiChinh_06105!D42),",'Row':",ROW(BCTinhHinhTaiChinh_06105!D42),",","'Format':'numberic'",",'Value':'",SUBSTITUTE(BCTinhHinhTaiChinh_06105!D42,"'","\'"),"','TargetCode':''}")</f>
        <v>{'SheetId':'5ca8c4ee-b8a7-4cfd-b34f-43f723c1d20d','UId':'27f6e8b4-7b74-46c7-a670-7b5490d87d88','Col':4,'Row':42,'Format':'numberic','Value':'0','TargetCode':''}</v>
      </c>
    </row>
    <row r="298" spans="1:1">
      <c r="A298" t="str">
        <f>CONCATENATE("{'SheetId':'5ca8c4ee-b8a7-4cfd-b34f-43f723c1d20d'",",","'UId':'654c9b10-e1da-45e4-a580-919aa2aac0ac'",",'Col':",COLUMN(BCTinhHinhTaiChinh_06105!E42),",'Row':",ROW(BCTinhHinhTaiChinh_06105!E42),",","'Format':'numberic'",",'Value':'",SUBSTITUTE(BCTinhHinhTaiChinh_06105!E42,"'","\'"),"','TargetCode':''}")</f>
        <v>{'SheetId':'5ca8c4ee-b8a7-4cfd-b34f-43f723c1d20d','UId':'654c9b10-e1da-45e4-a580-919aa2aac0ac','Col':5,'Row':42,'Format':'numberic','Value':'0','TargetCode':''}</v>
      </c>
    </row>
    <row r="299" spans="1:1">
      <c r="A299" t="str">
        <f>CONCATENATE("{'SheetId':'5ca8c4ee-b8a7-4cfd-b34f-43f723c1d20d'",",","'UId':'6bde1cba-869d-4eec-8254-3b2f041cbf22'",",'Col':",COLUMN(BCTinhHinhTaiChinh_06105!C43),",'Row':",ROW(BCTinhHinhTaiChinh_06105!C43),",","'Format':'string'",",'Value':'",SUBSTITUTE(BCTinhHinhTaiChinh_06105!C43,"'","\'"),"','TargetCode':''}")</f>
        <v>{'SheetId':'5ca8c4ee-b8a7-4cfd-b34f-43f723c1d20d','UId':'6bde1cba-869d-4eec-8254-3b2f041cbf22','Col':3,'Row':43,'Format':'string','Value':'','TargetCode':''}</v>
      </c>
    </row>
    <row r="300" spans="1:1">
      <c r="A300" t="str">
        <f>CONCATENATE("{'SheetId':'5ca8c4ee-b8a7-4cfd-b34f-43f723c1d20d'",",","'UId':'ecd26289-1ae3-407b-9534-33ad1b6a8b74'",",'Col':",COLUMN(BCTinhHinhTaiChinh_06105!D43),",'Row':",ROW(BCTinhHinhTaiChinh_06105!D43),",","'Format':'numberic'",",'Value':'",SUBSTITUTE(BCTinhHinhTaiChinh_06105!D43,"'","\'"),"','TargetCode':''}")</f>
        <v>{'SheetId':'5ca8c4ee-b8a7-4cfd-b34f-43f723c1d20d','UId':'ecd26289-1ae3-407b-9534-33ad1b6a8b74','Col':4,'Row':43,'Format':'numberic','Value':'0','TargetCode':''}</v>
      </c>
    </row>
    <row r="301" spans="1:1">
      <c r="A301" t="str">
        <f>CONCATENATE("{'SheetId':'5ca8c4ee-b8a7-4cfd-b34f-43f723c1d20d'",",","'UId':'c14f731d-6f1d-47bf-96c0-febcef8c1d8b'",",'Col':",COLUMN(BCTinhHinhTaiChinh_06105!E43),",'Row':",ROW(BCTinhHinhTaiChinh_06105!E43),",","'Format':'numberic'",",'Value':'",SUBSTITUTE(BCTinhHinhTaiChinh_06105!E43,"'","\'"),"','TargetCode':''}")</f>
        <v>{'SheetId':'5ca8c4ee-b8a7-4cfd-b34f-43f723c1d20d','UId':'c14f731d-6f1d-47bf-96c0-febcef8c1d8b','Col':5,'Row':43,'Format':'numberic','Value':'0','TargetCode':''}</v>
      </c>
    </row>
    <row r="302" spans="1:1">
      <c r="A302" t="str">
        <f>CONCATENATE("{'SheetId':'5ca8c4ee-b8a7-4cfd-b34f-43f723c1d20d'",",","'UId':'ac771148-2a2e-4064-8448-229676bb2f77'",",'Col':",COLUMN(BCTinhHinhTaiChinh_06105!C44),",'Row':",ROW(BCTinhHinhTaiChinh_06105!C44),",","'Format':'string'",",'Value':'",SUBSTITUTE(BCTinhHinhTaiChinh_06105!C44,"'","\'"),"','TargetCode':''}")</f>
        <v>{'SheetId':'5ca8c4ee-b8a7-4cfd-b34f-43f723c1d20d','UId':'ac771148-2a2e-4064-8448-229676bb2f77','Col':3,'Row':44,'Format':'string','Value':'','TargetCode':''}</v>
      </c>
    </row>
    <row r="303" spans="1:1">
      <c r="A303" t="str">
        <f>CONCATENATE("{'SheetId':'5ca8c4ee-b8a7-4cfd-b34f-43f723c1d20d'",",","'UId':'d3bddbe1-4e5d-4368-8d85-52dcef2e2c5e'",",'Col':",COLUMN(BCTinhHinhTaiChinh_06105!D44),",'Row':",ROW(BCTinhHinhTaiChinh_06105!D44),",","'Format':'numberic'",",'Value':'",SUBSTITUTE(BCTinhHinhTaiChinh_06105!D44,"'","\'"),"','TargetCode':''}")</f>
        <v>{'SheetId':'5ca8c4ee-b8a7-4cfd-b34f-43f723c1d20d','UId':'d3bddbe1-4e5d-4368-8d85-52dcef2e2c5e','Col':4,'Row':44,'Format':'numberic','Value':'0','TargetCode':''}</v>
      </c>
    </row>
    <row r="304" spans="1:1">
      <c r="A304" t="str">
        <f>CONCATENATE("{'SheetId':'5ca8c4ee-b8a7-4cfd-b34f-43f723c1d20d'",",","'UId':'992eef95-86f0-482d-8c1e-2023ba48986a'",",'Col':",COLUMN(BCTinhHinhTaiChinh_06105!E44),",'Row':",ROW(BCTinhHinhTaiChinh_06105!E44),",","'Format':'numberic'",",'Value':'",SUBSTITUTE(BCTinhHinhTaiChinh_06105!E44,"'","\'"),"','TargetCode':''}")</f>
        <v>{'SheetId':'5ca8c4ee-b8a7-4cfd-b34f-43f723c1d20d','UId':'992eef95-86f0-482d-8c1e-2023ba48986a','Col':5,'Row':44,'Format':'numberic','Value':'0','TargetCode':''}</v>
      </c>
    </row>
    <row r="305" spans="1:1">
      <c r="A305" t="str">
        <f>CONCATENATE("{'SheetId':'5ca8c4ee-b8a7-4cfd-b34f-43f723c1d20d'",",","'UId':'1e6112b0-83d1-452e-9e86-4ab0fae5fdb4'",",'Col':",COLUMN(BCTinhHinhTaiChinh_06105!C45),",'Row':",ROW(BCTinhHinhTaiChinh_06105!C45),",","'Format':'string'",",'Value':'",SUBSTITUTE(BCTinhHinhTaiChinh_06105!C45,"'","\'"),"','TargetCode':''}")</f>
        <v>{'SheetId':'5ca8c4ee-b8a7-4cfd-b34f-43f723c1d20d','UId':'1e6112b0-83d1-452e-9e86-4ab0fae5fdb4','Col':3,'Row':45,'Format':'string','Value':'','TargetCode':''}</v>
      </c>
    </row>
    <row r="306" spans="1:1">
      <c r="A306" t="str">
        <f>CONCATENATE("{'SheetId':'5ca8c4ee-b8a7-4cfd-b34f-43f723c1d20d'",",","'UId':'7dc47f22-2d30-4a5a-93c4-26a99906115b'",",'Col':",COLUMN(BCTinhHinhTaiChinh_06105!D45),",'Row':",ROW(BCTinhHinhTaiChinh_06105!D45),",","'Format':'numberic'",",'Value':'",SUBSTITUTE(BCTinhHinhTaiChinh_06105!D45,"'","\'"),"','TargetCode':''}")</f>
        <v>{'SheetId':'5ca8c4ee-b8a7-4cfd-b34f-43f723c1d20d','UId':'7dc47f22-2d30-4a5a-93c4-26a99906115b','Col':4,'Row':45,'Format':'numberic','Value':'0','TargetCode':''}</v>
      </c>
    </row>
    <row r="307" spans="1:1">
      <c r="A307" t="str">
        <f>CONCATENATE("{'SheetId':'5ca8c4ee-b8a7-4cfd-b34f-43f723c1d20d'",",","'UId':'1c11c533-0f17-40eb-9f14-5cf55fdb9d98'",",'Col':",COLUMN(BCTinhHinhTaiChinh_06105!E45),",'Row':",ROW(BCTinhHinhTaiChinh_06105!E45),",","'Format':'numberic'",",'Value':'",SUBSTITUTE(BCTinhHinhTaiChinh_06105!E45,"'","\'"),"','TargetCode':''}")</f>
        <v>{'SheetId':'5ca8c4ee-b8a7-4cfd-b34f-43f723c1d20d','UId':'1c11c533-0f17-40eb-9f14-5cf55fdb9d98','Col':5,'Row':45,'Format':'numberic','Value':'0','TargetCode':''}</v>
      </c>
    </row>
    <row r="308" spans="1:1">
      <c r="A308" t="str">
        <f>CONCATENATE("{'SheetId':'ef452680-df25-4941-a691-1ce22933397b'",",","'UId':'1cf4ed1c-c676-43e6-8095-c03444b78a80'",",'Col':",COLUMN(BCLCTT_06106!C2),",'Row':",ROW(BCLCTT_06106!C2),",","'Format':'string'",",'Value':'",SUBSTITUTE(BCLCTT_06106!C2,"'","\'"),"','TargetCode':''}")</f>
        <v>{'SheetId':'ef452680-df25-4941-a691-1ce22933397b','UId':'1cf4ed1c-c676-43e6-8095-c03444b78a80','Col':3,'Row':2,'Format':'string','Value':' ','TargetCode':''}</v>
      </c>
    </row>
    <row r="309" spans="1:1">
      <c r="A309" t="str">
        <f>CONCATENATE("{'SheetId':'ef452680-df25-4941-a691-1ce22933397b'",",","'UId':'eae0062e-7aa0-4955-bad9-07475560cd12'",",'Col':",COLUMN(BCLCTT_06106!D2),",'Row':",ROW(BCLCTT_06106!D2),",","'Format':'numberic'",",'Value':'",SUBSTITUTE(BCLCTT_06106!D2,"'","\'"),"','TargetCode':''}")</f>
        <v>{'SheetId':'ef452680-df25-4941-a691-1ce22933397b','UId':'eae0062e-7aa0-4955-bad9-07475560cd12','Col':4,'Row':2,'Format':'numberic','Value':' ','TargetCode':''}</v>
      </c>
    </row>
    <row r="310" spans="1:1">
      <c r="A310" t="str">
        <f>CONCATENATE("{'SheetId':'ef452680-df25-4941-a691-1ce22933397b'",",","'UId':'519527e7-cf8b-41e3-9573-20eb7e6c7ebe'",",'Col':",COLUMN(BCLCTT_06106!E2),",'Row':",ROW(BCLCTT_06106!E2),",","'Format':'numberic'",",'Value':'",SUBSTITUTE(BCLCTT_06106!E2,"'","\'"),"','TargetCode':''}")</f>
        <v>{'SheetId':'ef452680-df25-4941-a691-1ce22933397b','UId':'519527e7-cf8b-41e3-9573-20eb7e6c7ebe','Col':5,'Row':2,'Format':'numberic','Value':' ','TargetCode':''}</v>
      </c>
    </row>
    <row r="311" spans="1:1">
      <c r="A311" t="str">
        <f>CONCATENATE("{'SheetId':'ef452680-df25-4941-a691-1ce22933397b'",",","'UId':'87c5f941-0e0d-4ef7-a9d3-a8997edd0a86'",",'Col':",COLUMN(BCLCTT_06106!C3),",'Row':",ROW(BCLCTT_06106!C3),",","'Format':'string'",",'Value':'",SUBSTITUTE(BCLCTT_06106!C3,"'","\'"),"','TargetCode':''}")</f>
        <v>{'SheetId':'ef452680-df25-4941-a691-1ce22933397b','UId':'87c5f941-0e0d-4ef7-a9d3-a8997edd0a86','Col':3,'Row':3,'Format':'string','Value':' ','TargetCode':''}</v>
      </c>
    </row>
    <row r="312" spans="1:1">
      <c r="A312" t="str">
        <f>CONCATENATE("{'SheetId':'ef452680-df25-4941-a691-1ce22933397b'",",","'UId':'e2cdf997-7752-46eb-ac6e-4fa67c6bf478'",",'Col':",COLUMN(BCLCTT_06106!D3),",'Row':",ROW(BCLCTT_06106!D3),",","'Format':'numberic'",",'Value':'",SUBSTITUTE(BCLCTT_06106!D3,"'","\'"),"','TargetCode':''}")</f>
        <v>{'SheetId':'ef452680-df25-4941-a691-1ce22933397b','UId':'e2cdf997-7752-46eb-ac6e-4fa67c6bf478','Col':4,'Row':3,'Format':'numberic','Value':' ','TargetCode':''}</v>
      </c>
    </row>
    <row r="313" spans="1:1">
      <c r="A313" t="str">
        <f>CONCATENATE("{'SheetId':'ef452680-df25-4941-a691-1ce22933397b'",",","'UId':'78b94950-c0d6-43b1-bdf2-253e0e60fb34'",",'Col':",COLUMN(BCLCTT_06106!E3),",'Row':",ROW(BCLCTT_06106!E3),",","'Format':'numberic'",",'Value':'",SUBSTITUTE(BCLCTT_06106!E3,"'","\'"),"','TargetCode':''}")</f>
        <v>{'SheetId':'ef452680-df25-4941-a691-1ce22933397b','UId':'78b94950-c0d6-43b1-bdf2-253e0e60fb34','Col':5,'Row':3,'Format':'numberic','Value':' ','TargetCode':''}</v>
      </c>
    </row>
    <row r="314" spans="1:1">
      <c r="A314" t="str">
        <f>CONCATENATE("{'SheetId':'ef452680-df25-4941-a691-1ce22933397b'",",","'UId':'98aac705-88d5-4527-b694-f22d077397ba'",",'Col':",COLUMN(BCLCTT_06106!C4),",'Row':",ROW(BCLCTT_06106!C4),",","'Format':'string'",",'Value':'",SUBSTITUTE(BCLCTT_06106!C4,"'","\'"),"','TargetCode':''}")</f>
        <v>{'SheetId':'ef452680-df25-4941-a691-1ce22933397b','UId':'98aac705-88d5-4527-b694-f22d077397ba','Col':3,'Row':4,'Format':'string','Value':' ','TargetCode':''}</v>
      </c>
    </row>
    <row r="315" spans="1:1">
      <c r="A315" t="str">
        <f>CONCATENATE("{'SheetId':'ef452680-df25-4941-a691-1ce22933397b'",",","'UId':'cd89a199-6841-49db-978e-bcc0b7ec9276'",",'Col':",COLUMN(BCLCTT_06106!D4),",'Row':",ROW(BCLCTT_06106!D4),",","'Format':'numberic'",",'Value':'",SUBSTITUTE(BCLCTT_06106!D4,"'","\'"),"','TargetCode':''}")</f>
        <v>{'SheetId':'ef452680-df25-4941-a691-1ce22933397b','UId':'cd89a199-6841-49db-978e-bcc0b7ec9276','Col':4,'Row':4,'Format':'numberic','Value':' ','TargetCode':''}</v>
      </c>
    </row>
    <row r="316" spans="1:1">
      <c r="A316" t="str">
        <f>CONCATENATE("{'SheetId':'ef452680-df25-4941-a691-1ce22933397b'",",","'UId':'bb6c7268-7e70-4bd5-add5-3ce95ab9c3ff'",",'Col':",COLUMN(BCLCTT_06106!E4),",'Row':",ROW(BCLCTT_06106!E4),",","'Format':'numberic'",",'Value':'",SUBSTITUTE(BCLCTT_06106!E4,"'","\'"),"','TargetCode':''}")</f>
        <v>{'SheetId':'ef452680-df25-4941-a691-1ce22933397b','UId':'bb6c7268-7e70-4bd5-add5-3ce95ab9c3ff','Col':5,'Row':4,'Format':'numberic','Value':' ','TargetCode':''}</v>
      </c>
    </row>
    <row r="317" spans="1:1">
      <c r="A317" t="str">
        <f>CONCATENATE("{'SheetId':'ef452680-df25-4941-a691-1ce22933397b'",",","'UId':'6ed9cac7-56ba-44b9-af0f-c6d57fafa1a4'",",'Col':",COLUMN(BCLCTT_06106!C5),",'Row':",ROW(BCLCTT_06106!C5),",","'Format':'string'",",'Value':'",SUBSTITUTE(BCLCTT_06106!C5,"'","\'"),"','TargetCode':''}")</f>
        <v>{'SheetId':'ef452680-df25-4941-a691-1ce22933397b','UId':'6ed9cac7-56ba-44b9-af0f-c6d57fafa1a4','Col':3,'Row':5,'Format':'string','Value':' ','TargetCode':''}</v>
      </c>
    </row>
    <row r="318" spans="1:1">
      <c r="A318" t="str">
        <f>CONCATENATE("{'SheetId':'ef452680-df25-4941-a691-1ce22933397b'",",","'UId':'be0c19c6-b3bd-4738-91a4-7a9385764c14'",",'Col':",COLUMN(BCLCTT_06106!D5),",'Row':",ROW(BCLCTT_06106!D5),",","'Format':'numberic'",",'Value':'",SUBSTITUTE(BCLCTT_06106!D5,"'","\'"),"','TargetCode':''}")</f>
        <v>{'SheetId':'ef452680-df25-4941-a691-1ce22933397b','UId':'be0c19c6-b3bd-4738-91a4-7a9385764c14','Col':4,'Row':5,'Format':'numberic','Value':' ','TargetCode':''}</v>
      </c>
    </row>
    <row r="319" spans="1:1">
      <c r="A319" t="str">
        <f>CONCATENATE("{'SheetId':'ef452680-df25-4941-a691-1ce22933397b'",",","'UId':'62cb1d9c-a462-45b8-b8cd-2b653801d94a'",",'Col':",COLUMN(BCLCTT_06106!E5),",'Row':",ROW(BCLCTT_06106!E5),",","'Format':'numberic'",",'Value':'",SUBSTITUTE(BCLCTT_06106!E5,"'","\'"),"','TargetCode':''}")</f>
        <v>{'SheetId':'ef452680-df25-4941-a691-1ce22933397b','UId':'62cb1d9c-a462-45b8-b8cd-2b653801d94a','Col':5,'Row':5,'Format':'numberic','Value':' ','TargetCode':''}</v>
      </c>
    </row>
    <row r="320" spans="1:1">
      <c r="A320" t="str">
        <f>CONCATENATE("{'SheetId':'ef452680-df25-4941-a691-1ce22933397b'",",","'UId':'1dff9b80-1859-439c-85ee-1f427a7e53bd'",",'Col':",COLUMN(BCLCTT_06106!C6),",'Row':",ROW(BCLCTT_06106!C6),",","'Format':'string'",",'Value':'",SUBSTITUTE(BCLCTT_06106!C6,"'","\'"),"','TargetCode':''}")</f>
        <v>{'SheetId':'ef452680-df25-4941-a691-1ce22933397b','UId':'1dff9b80-1859-439c-85ee-1f427a7e53bd','Col':3,'Row':6,'Format':'string','Value':' ','TargetCode':''}</v>
      </c>
    </row>
    <row r="321" spans="1:1">
      <c r="A321" t="str">
        <f>CONCATENATE("{'SheetId':'ef452680-df25-4941-a691-1ce22933397b'",",","'UId':'e0645406-8ba6-409a-9353-7e4ddaedd261'",",'Col':",COLUMN(BCLCTT_06106!D6),",'Row':",ROW(BCLCTT_06106!D6),",","'Format':'numberic'",",'Value':'",SUBSTITUTE(BCLCTT_06106!D6,"'","\'"),"','TargetCode':''}")</f>
        <v>{'SheetId':'ef452680-df25-4941-a691-1ce22933397b','UId':'e0645406-8ba6-409a-9353-7e4ddaedd261','Col':4,'Row':6,'Format':'numberic','Value':' ','TargetCode':''}</v>
      </c>
    </row>
    <row r="322" spans="1:1">
      <c r="A322" t="str">
        <f>CONCATENATE("{'SheetId':'ef452680-df25-4941-a691-1ce22933397b'",",","'UId':'ed9e4598-4abc-445b-a8f5-e5f5f1509330'",",'Col':",COLUMN(BCLCTT_06106!E6),",'Row':",ROW(BCLCTT_06106!E6),",","'Format':'numberic'",",'Value':'",SUBSTITUTE(BCLCTT_06106!E6,"'","\'"),"','TargetCode':''}")</f>
        <v>{'SheetId':'ef452680-df25-4941-a691-1ce22933397b','UId':'ed9e4598-4abc-445b-a8f5-e5f5f1509330','Col':5,'Row':6,'Format':'numberic','Value':' ','TargetCode':''}</v>
      </c>
    </row>
    <row r="323" spans="1:1">
      <c r="A323" t="str">
        <f>CONCATENATE("{'SheetId':'ef452680-df25-4941-a691-1ce22933397b'",",","'UId':'0ada4f6f-1e56-4054-8b0b-81ae4148b635'",",'Col':",COLUMN(BCLCTT_06106!C7),",'Row':",ROW(BCLCTT_06106!C7),",","'Format':'string'",",'Value':'",SUBSTITUTE(BCLCTT_06106!C7,"'","\'"),"','TargetCode':''}")</f>
        <v>{'SheetId':'ef452680-df25-4941-a691-1ce22933397b','UId':'0ada4f6f-1e56-4054-8b0b-81ae4148b635','Col':3,'Row':7,'Format':'string','Value':' ','TargetCode':''}</v>
      </c>
    </row>
    <row r="324" spans="1:1">
      <c r="A324" t="str">
        <f>CONCATENATE("{'SheetId':'ef452680-df25-4941-a691-1ce22933397b'",",","'UId':'25e6d707-2677-4884-9ff0-9ad9560dd660'",",'Col':",COLUMN(BCLCTT_06106!D7),",'Row':",ROW(BCLCTT_06106!D7),",","'Format':'numberic'",",'Value':'",SUBSTITUTE(BCLCTT_06106!D7,"'","\'"),"','TargetCode':''}")</f>
        <v>{'SheetId':'ef452680-df25-4941-a691-1ce22933397b','UId':'25e6d707-2677-4884-9ff0-9ad9560dd660','Col':4,'Row':7,'Format':'numberic','Value':' ','TargetCode':''}</v>
      </c>
    </row>
    <row r="325" spans="1:1">
      <c r="A325" t="str">
        <f>CONCATENATE("{'SheetId':'ef452680-df25-4941-a691-1ce22933397b'",",","'UId':'32334b3c-eac0-42b3-a528-a439445b9bc8'",",'Col':",COLUMN(BCLCTT_06106!E7),",'Row':",ROW(BCLCTT_06106!E7),",","'Format':'numberic'",",'Value':'",SUBSTITUTE(BCLCTT_06106!E7,"'","\'"),"','TargetCode':''}")</f>
        <v>{'SheetId':'ef452680-df25-4941-a691-1ce22933397b','UId':'32334b3c-eac0-42b3-a528-a439445b9bc8','Col':5,'Row':7,'Format':'numberic','Value':' ','TargetCode':''}</v>
      </c>
    </row>
    <row r="326" spans="1:1">
      <c r="A326" t="str">
        <f>CONCATENATE("{'SheetId':'ef452680-df25-4941-a691-1ce22933397b'",",","'UId':'e379b23e-18f1-4cfa-93b7-73853a6b21d2'",",'Col':",COLUMN(BCLCTT_06106!C8),",'Row':",ROW(BCLCTT_06106!C8),",","'Format':'string'",",'Value':'",SUBSTITUTE(BCLCTT_06106!C8,"'","\'"),"','TargetCode':''}")</f>
        <v>{'SheetId':'ef452680-df25-4941-a691-1ce22933397b','UId':'e379b23e-18f1-4cfa-93b7-73853a6b21d2','Col':3,'Row':8,'Format':'string','Value':' ','TargetCode':''}</v>
      </c>
    </row>
    <row r="327" spans="1:1">
      <c r="A327" t="str">
        <f>CONCATENATE("{'SheetId':'ef452680-df25-4941-a691-1ce22933397b'",",","'UId':'1c83e9e5-272f-47f9-909c-3db3edaa5bf5'",",'Col':",COLUMN(BCLCTT_06106!D8),",'Row':",ROW(BCLCTT_06106!D8),",","'Format':'numberic'",",'Value':'",SUBSTITUTE(BCLCTT_06106!D8,"'","\'"),"','TargetCode':''}")</f>
        <v>{'SheetId':'ef452680-df25-4941-a691-1ce22933397b','UId':'1c83e9e5-272f-47f9-909c-3db3edaa5bf5','Col':4,'Row':8,'Format':'numberic','Value':' ','TargetCode':''}</v>
      </c>
    </row>
    <row r="328" spans="1:1">
      <c r="A328" t="str">
        <f>CONCATENATE("{'SheetId':'ef452680-df25-4941-a691-1ce22933397b'",",","'UId':'7a628fcb-04a4-4079-b99e-1ba2e52c2d73'",",'Col':",COLUMN(BCLCTT_06106!E8),",'Row':",ROW(BCLCTT_06106!E8),",","'Format':'numberic'",",'Value':'",SUBSTITUTE(BCLCTT_06106!E8,"'","\'"),"','TargetCode':''}")</f>
        <v>{'SheetId':'ef452680-df25-4941-a691-1ce22933397b','UId':'7a628fcb-04a4-4079-b99e-1ba2e52c2d73','Col':5,'Row':8,'Format':'numberic','Value':' ','TargetCode':''}</v>
      </c>
    </row>
    <row r="329" spans="1:1">
      <c r="A329" t="str">
        <f>CONCATENATE("{'SheetId':'ef452680-df25-4941-a691-1ce22933397b'",",","'UId':'7b4a5b02-7f60-4ff9-a52a-c2cc6c1b9317'",",'Col':",COLUMN(BCLCTT_06106!C9),",'Row':",ROW(BCLCTT_06106!C9),",","'Format':'string'",",'Value':'",SUBSTITUTE(BCLCTT_06106!C9,"'","\'"),"','TargetCode':''}")</f>
        <v>{'SheetId':'ef452680-df25-4941-a691-1ce22933397b','UId':'7b4a5b02-7f60-4ff9-a52a-c2cc6c1b9317','Col':3,'Row':9,'Format':'string','Value':' ','TargetCode':''}</v>
      </c>
    </row>
    <row r="330" spans="1:1">
      <c r="A330" t="str">
        <f>CONCATENATE("{'SheetId':'ef452680-df25-4941-a691-1ce22933397b'",",","'UId':'abab9046-646b-427c-bacf-59b3b08680a1'",",'Col':",COLUMN(BCLCTT_06106!D9),",'Row':",ROW(BCLCTT_06106!D9),",","'Format':'numberic'",",'Value':'",SUBSTITUTE(BCLCTT_06106!D9,"'","\'"),"','TargetCode':''}")</f>
        <v>{'SheetId':'ef452680-df25-4941-a691-1ce22933397b','UId':'abab9046-646b-427c-bacf-59b3b08680a1','Col':4,'Row':9,'Format':'numberic','Value':' ','TargetCode':''}</v>
      </c>
    </row>
    <row r="331" spans="1:1">
      <c r="A331" t="str">
        <f>CONCATENATE("{'SheetId':'ef452680-df25-4941-a691-1ce22933397b'",",","'UId':'b8aee4ae-3f92-4d3b-b178-37e75a50a589'",",'Col':",COLUMN(BCLCTT_06106!E9),",'Row':",ROW(BCLCTT_06106!E9),",","'Format':'numberic'",",'Value':'",SUBSTITUTE(BCLCTT_06106!E9,"'","\'"),"','TargetCode':''}")</f>
        <v>{'SheetId':'ef452680-df25-4941-a691-1ce22933397b','UId':'b8aee4ae-3f92-4d3b-b178-37e75a50a589','Col':5,'Row':9,'Format':'numberic','Value':' ','TargetCode':''}</v>
      </c>
    </row>
    <row r="332" spans="1:1">
      <c r="A332" t="str">
        <f>CONCATENATE("{'SheetId':'ef452680-df25-4941-a691-1ce22933397b'",",","'UId':'cd8ac265-98ed-4dfd-8379-91c758439640'",",'Col':",COLUMN(BCLCTT_06106!C10),",'Row':",ROW(BCLCTT_06106!C10),",","'Format':'string'",",'Value':'",SUBSTITUTE(BCLCTT_06106!C10,"'","\'"),"','TargetCode':''}")</f>
        <v>{'SheetId':'ef452680-df25-4941-a691-1ce22933397b','UId':'cd8ac265-98ed-4dfd-8379-91c758439640','Col':3,'Row':10,'Format':'string','Value':' ','TargetCode':''}</v>
      </c>
    </row>
    <row r="333" spans="1:1">
      <c r="A333" t="str">
        <f>CONCATENATE("{'SheetId':'ef452680-df25-4941-a691-1ce22933397b'",",","'UId':'672e157f-2bca-44f2-bfa8-598afefa48b4'",",'Col':",COLUMN(BCLCTT_06106!D10),",'Row':",ROW(BCLCTT_06106!D10),",","'Format':'numberic'",",'Value':'",SUBSTITUTE(BCLCTT_06106!D10,"'","\'"),"','TargetCode':''}")</f>
        <v>{'SheetId':'ef452680-df25-4941-a691-1ce22933397b','UId':'672e157f-2bca-44f2-bfa8-598afefa48b4','Col':4,'Row':10,'Format':'numberic','Value':' ','TargetCode':''}</v>
      </c>
    </row>
    <row r="334" spans="1:1">
      <c r="A334" t="str">
        <f>CONCATENATE("{'SheetId':'ef452680-df25-4941-a691-1ce22933397b'",",","'UId':'e08f7bcb-e297-4745-b522-5d01389b70af'",",'Col':",COLUMN(BCLCTT_06106!E10),",'Row':",ROW(BCLCTT_06106!E10),",","'Format':'numberic'",",'Value':'",SUBSTITUTE(BCLCTT_06106!E10,"'","\'"),"','TargetCode':''}")</f>
        <v>{'SheetId':'ef452680-df25-4941-a691-1ce22933397b','UId':'e08f7bcb-e297-4745-b522-5d01389b70af','Col':5,'Row':10,'Format':'numberic','Value':' ','TargetCode':''}</v>
      </c>
    </row>
    <row r="335" spans="1:1">
      <c r="A335" t="str">
        <f>CONCATENATE("{'SheetId':'ef452680-df25-4941-a691-1ce22933397b'",",","'UId':'dbdc3aea-fdfc-4cf7-a975-21dc1353ef81'",",'Col':",COLUMN(BCLCTT_06106!C11),",'Row':",ROW(BCLCTT_06106!C11),",","'Format':'string'",",'Value':'",SUBSTITUTE(BCLCTT_06106!C11,"'","\'"),"','TargetCode':''}")</f>
        <v>{'SheetId':'ef452680-df25-4941-a691-1ce22933397b','UId':'dbdc3aea-fdfc-4cf7-a975-21dc1353ef81','Col':3,'Row':11,'Format':'string','Value':' ','TargetCode':''}</v>
      </c>
    </row>
    <row r="336" spans="1:1">
      <c r="A336" t="str">
        <f>CONCATENATE("{'SheetId':'ef452680-df25-4941-a691-1ce22933397b'",",","'UId':'e92a5810-5839-4ee2-b243-18c2f0b37cb5'",",'Col':",COLUMN(BCLCTT_06106!D11),",'Row':",ROW(BCLCTT_06106!D11),",","'Format':'numberic'",",'Value':'",SUBSTITUTE(BCLCTT_06106!D11,"'","\'"),"','TargetCode':''}")</f>
        <v>{'SheetId':'ef452680-df25-4941-a691-1ce22933397b','UId':'e92a5810-5839-4ee2-b243-18c2f0b37cb5','Col':4,'Row':11,'Format':'numberic','Value':' ','TargetCode':''}</v>
      </c>
    </row>
    <row r="337" spans="1:1">
      <c r="A337" t="str">
        <f>CONCATENATE("{'SheetId':'ef452680-df25-4941-a691-1ce22933397b'",",","'UId':'bc0e6f28-b6c7-48a9-bbfb-5170da4ea06e'",",'Col':",COLUMN(BCLCTT_06106!E11),",'Row':",ROW(BCLCTT_06106!E11),",","'Format':'numberic'",",'Value':'",SUBSTITUTE(BCLCTT_06106!E11,"'","\'"),"','TargetCode':''}")</f>
        <v>{'SheetId':'ef452680-df25-4941-a691-1ce22933397b','UId':'bc0e6f28-b6c7-48a9-bbfb-5170da4ea06e','Col':5,'Row':11,'Format':'numberic','Value':' ','TargetCode':''}</v>
      </c>
    </row>
    <row r="338" spans="1:1">
      <c r="A338" t="str">
        <f>CONCATENATE("{'SheetId':'ef452680-df25-4941-a691-1ce22933397b'",",","'UId':'2fe7fb15-a453-4887-a95b-93dea15a1598'",",'Col':",COLUMN(BCLCTT_06106!C12),",'Row':",ROW(BCLCTT_06106!C12),",","'Format':'string'",",'Value':'",SUBSTITUTE(BCLCTT_06106!C12,"'","\'"),"','TargetCode':''}")</f>
        <v>{'SheetId':'ef452680-df25-4941-a691-1ce22933397b','UId':'2fe7fb15-a453-4887-a95b-93dea15a1598','Col':3,'Row':12,'Format':'string','Value':' ','TargetCode':''}</v>
      </c>
    </row>
    <row r="339" spans="1:1">
      <c r="A339" t="str">
        <f>CONCATENATE("{'SheetId':'ef452680-df25-4941-a691-1ce22933397b'",",","'UId':'d11730f2-920e-451e-8b00-2b0479f061f9'",",'Col':",COLUMN(BCLCTT_06106!D12),",'Row':",ROW(BCLCTT_06106!D12),",","'Format':'numberic'",",'Value':'",SUBSTITUTE(BCLCTT_06106!D12,"'","\'"),"','TargetCode':''}")</f>
        <v>{'SheetId':'ef452680-df25-4941-a691-1ce22933397b','UId':'d11730f2-920e-451e-8b00-2b0479f061f9','Col':4,'Row':12,'Format':'numberic','Value':' ','TargetCode':''}</v>
      </c>
    </row>
    <row r="340" spans="1:1">
      <c r="A340" t="str">
        <f>CONCATENATE("{'SheetId':'ef452680-df25-4941-a691-1ce22933397b'",",","'UId':'eae1ca6f-48ca-45e2-aec9-01de56eac057'",",'Col':",COLUMN(BCLCTT_06106!E12),",'Row':",ROW(BCLCTT_06106!E12),",","'Format':'numberic'",",'Value':'",SUBSTITUTE(BCLCTT_06106!E12,"'","\'"),"','TargetCode':''}")</f>
        <v>{'SheetId':'ef452680-df25-4941-a691-1ce22933397b','UId':'eae1ca6f-48ca-45e2-aec9-01de56eac057','Col':5,'Row':12,'Format':'numberic','Value':' ','TargetCode':''}</v>
      </c>
    </row>
    <row r="341" spans="1:1">
      <c r="A341" t="str">
        <f>CONCATENATE("{'SheetId':'ef452680-df25-4941-a691-1ce22933397b'",",","'UId':'d943be87-b9b4-47ba-92cd-3b3ed2f69962'",",'Col':",COLUMN(BCLCTT_06106!C13),",'Row':",ROW(BCLCTT_06106!C13),",","'Format':'string'",",'Value':'",SUBSTITUTE(BCLCTT_06106!C13,"'","\'"),"','TargetCode':''}")</f>
        <v>{'SheetId':'ef452680-df25-4941-a691-1ce22933397b','UId':'d943be87-b9b4-47ba-92cd-3b3ed2f69962','Col':3,'Row':13,'Format':'string','Value':' ','TargetCode':''}</v>
      </c>
    </row>
    <row r="342" spans="1:1">
      <c r="A342" t="str">
        <f>CONCATENATE("{'SheetId':'ef452680-df25-4941-a691-1ce22933397b'",",","'UId':'b061dd3c-23b5-4ac2-a1e3-40b6293df873'",",'Col':",COLUMN(BCLCTT_06106!D13),",'Row':",ROW(BCLCTT_06106!D13),",","'Format':'numberic'",",'Value':'",SUBSTITUTE(BCLCTT_06106!D13,"'","\'"),"','TargetCode':''}")</f>
        <v>{'SheetId':'ef452680-df25-4941-a691-1ce22933397b','UId':'b061dd3c-23b5-4ac2-a1e3-40b6293df873','Col':4,'Row':13,'Format':'numberic','Value':' ','TargetCode':''}</v>
      </c>
    </row>
    <row r="343" spans="1:1">
      <c r="A343" t="str">
        <f>CONCATENATE("{'SheetId':'ef452680-df25-4941-a691-1ce22933397b'",",","'UId':'b1046cc8-bc59-402e-b6fa-b3871d519a35'",",'Col':",COLUMN(BCLCTT_06106!E13),",'Row':",ROW(BCLCTT_06106!E13),",","'Format':'numberic'",",'Value':'",SUBSTITUTE(BCLCTT_06106!E13,"'","\'"),"','TargetCode':''}")</f>
        <v>{'SheetId':'ef452680-df25-4941-a691-1ce22933397b','UId':'b1046cc8-bc59-402e-b6fa-b3871d519a35','Col':5,'Row':13,'Format':'numberic','Value':' ','TargetCode':''}</v>
      </c>
    </row>
    <row r="344" spans="1:1">
      <c r="A344" t="str">
        <f>CONCATENATE("{'SheetId':'ef452680-df25-4941-a691-1ce22933397b'",",","'UId':'2714e75d-7dff-4654-9a6c-bcf0299088f8'",",'Col':",COLUMN(BCLCTT_06106!C14),",'Row':",ROW(BCLCTT_06106!C14),",","'Format':'string'",",'Value':'",SUBSTITUTE(BCLCTT_06106!C14,"'","\'"),"','TargetCode':''}")</f>
        <v>{'SheetId':'ef452680-df25-4941-a691-1ce22933397b','UId':'2714e75d-7dff-4654-9a6c-bcf0299088f8','Col':3,'Row':14,'Format':'string','Value':' ','TargetCode':''}</v>
      </c>
    </row>
    <row r="345" spans="1:1">
      <c r="A345" t="str">
        <f>CONCATENATE("{'SheetId':'ef452680-df25-4941-a691-1ce22933397b'",",","'UId':'463746df-5031-430b-85ab-8415d756621a'",",'Col':",COLUMN(BCLCTT_06106!D14),",'Row':",ROW(BCLCTT_06106!D14),",","'Format':'numberic'",",'Value':'",SUBSTITUTE(BCLCTT_06106!D14,"'","\'"),"','TargetCode':''}")</f>
        <v>{'SheetId':'ef452680-df25-4941-a691-1ce22933397b','UId':'463746df-5031-430b-85ab-8415d756621a','Col':4,'Row':14,'Format':'numberic','Value':' ','TargetCode':''}</v>
      </c>
    </row>
    <row r="346" spans="1:1">
      <c r="A346" t="str">
        <f>CONCATENATE("{'SheetId':'ef452680-df25-4941-a691-1ce22933397b'",",","'UId':'169f7af7-a090-46ec-8d25-c6a2dd97ecc6'",",'Col':",COLUMN(BCLCTT_06106!E14),",'Row':",ROW(BCLCTT_06106!E14),",","'Format':'numberic'",",'Value':'",SUBSTITUTE(BCLCTT_06106!E14,"'","\'"),"','TargetCode':''}")</f>
        <v>{'SheetId':'ef452680-df25-4941-a691-1ce22933397b','UId':'169f7af7-a090-46ec-8d25-c6a2dd97ecc6','Col':5,'Row':14,'Format':'numberic','Value':' ','TargetCode':''}</v>
      </c>
    </row>
    <row r="347" spans="1:1">
      <c r="A347" t="str">
        <f>CONCATENATE("{'SheetId':'ef452680-df25-4941-a691-1ce22933397b'",",","'UId':'4958841c-503f-46f1-b3e1-5d1da8e7e58d'",",'Col':",COLUMN(BCLCTT_06106!C15),",'Row':",ROW(BCLCTT_06106!C15),",","'Format':'string'",",'Value':'",SUBSTITUTE(BCLCTT_06106!C15,"'","\'"),"','TargetCode':''}")</f>
        <v>{'SheetId':'ef452680-df25-4941-a691-1ce22933397b','UId':'4958841c-503f-46f1-b3e1-5d1da8e7e58d','Col':3,'Row':15,'Format':'string','Value':' ','TargetCode':''}</v>
      </c>
    </row>
    <row r="348" spans="1:1">
      <c r="A348" t="str">
        <f>CONCATENATE("{'SheetId':'ef452680-df25-4941-a691-1ce22933397b'",",","'UId':'0326787d-2af0-4cd5-845d-b8c788f3b14d'",",'Col':",COLUMN(BCLCTT_06106!D15),",'Row':",ROW(BCLCTT_06106!D15),",","'Format':'numberic'",",'Value':'",SUBSTITUTE(BCLCTT_06106!D15,"'","\'"),"','TargetCode':''}")</f>
        <v>{'SheetId':'ef452680-df25-4941-a691-1ce22933397b','UId':'0326787d-2af0-4cd5-845d-b8c788f3b14d','Col':4,'Row':15,'Format':'numberic','Value':' ','TargetCode':''}</v>
      </c>
    </row>
    <row r="349" spans="1:1">
      <c r="A349" t="str">
        <f>CONCATENATE("{'SheetId':'ef452680-df25-4941-a691-1ce22933397b'",",","'UId':'1aa849b7-da1c-4332-b8b1-65630a198920'",",'Col':",COLUMN(BCLCTT_06106!E15),",'Row':",ROW(BCLCTT_06106!E15),",","'Format':'numberic'",",'Value':'",SUBSTITUTE(BCLCTT_06106!E15,"'","\'"),"','TargetCode':''}")</f>
        <v>{'SheetId':'ef452680-df25-4941-a691-1ce22933397b','UId':'1aa849b7-da1c-4332-b8b1-65630a198920','Col':5,'Row':15,'Format':'numberic','Value':' ','TargetCode':''}</v>
      </c>
    </row>
    <row r="350" spans="1:1">
      <c r="A350" t="str">
        <f>CONCATENATE("{'SheetId':'ef452680-df25-4941-a691-1ce22933397b'",",","'UId':'4f8369fb-318b-4ae8-b7d7-538f6c9b9b13'",",'Col':",COLUMN(BCLCTT_06106!C16),",'Row':",ROW(BCLCTT_06106!C16),",","'Format':'string'",",'Value':'",SUBSTITUTE(BCLCTT_06106!C16,"'","\'"),"','TargetCode':''}")</f>
        <v>{'SheetId':'ef452680-df25-4941-a691-1ce22933397b','UId':'4f8369fb-318b-4ae8-b7d7-538f6c9b9b13','Col':3,'Row':16,'Format':'string','Value':' ','TargetCode':''}</v>
      </c>
    </row>
    <row r="351" spans="1:1">
      <c r="A351" t="str">
        <f>CONCATENATE("{'SheetId':'ef452680-df25-4941-a691-1ce22933397b'",",","'UId':'88165489-7bac-4b94-abf6-941a85eac7a4'",",'Col':",COLUMN(BCLCTT_06106!D16),",'Row':",ROW(BCLCTT_06106!D16),",","'Format':'numberic'",",'Value':'",SUBSTITUTE(BCLCTT_06106!D16,"'","\'"),"','TargetCode':''}")</f>
        <v>{'SheetId':'ef452680-df25-4941-a691-1ce22933397b','UId':'88165489-7bac-4b94-abf6-941a85eac7a4','Col':4,'Row':16,'Format':'numberic','Value':' ','TargetCode':''}</v>
      </c>
    </row>
    <row r="352" spans="1:1">
      <c r="A352" t="str">
        <f>CONCATENATE("{'SheetId':'ef452680-df25-4941-a691-1ce22933397b'",",","'UId':'d187ec4e-b470-40d5-bd35-54561c1efbb2'",",'Col':",COLUMN(BCLCTT_06106!E16),",'Row':",ROW(BCLCTT_06106!E16),",","'Format':'numberic'",",'Value':'",SUBSTITUTE(BCLCTT_06106!E16,"'","\'"),"','TargetCode':''}")</f>
        <v>{'SheetId':'ef452680-df25-4941-a691-1ce22933397b','UId':'d187ec4e-b470-40d5-bd35-54561c1efbb2','Col':5,'Row':16,'Format':'numberic','Value':' ','TargetCode':''}</v>
      </c>
    </row>
    <row r="353" spans="1:1">
      <c r="A353" t="str">
        <f>CONCATENATE("{'SheetId':'ef452680-df25-4941-a691-1ce22933397b'",",","'UId':'e8e8d51a-01da-4dd2-8d58-32f802f188fb'",",'Col':",COLUMN(BCLCTT_06106!C17),",'Row':",ROW(BCLCTT_06106!C17),",","'Format':'string'",",'Value':'",SUBSTITUTE(BCLCTT_06106!C17,"'","\'"),"','TargetCode':''}")</f>
        <v>{'SheetId':'ef452680-df25-4941-a691-1ce22933397b','UId':'e8e8d51a-01da-4dd2-8d58-32f802f188fb','Col':3,'Row':17,'Format':'string','Value':' ','TargetCode':''}</v>
      </c>
    </row>
    <row r="354" spans="1:1">
      <c r="A354" t="str">
        <f>CONCATENATE("{'SheetId':'ef452680-df25-4941-a691-1ce22933397b'",",","'UId':'71dc8581-3df5-40f3-b3ac-6718987960af'",",'Col':",COLUMN(BCLCTT_06106!D17),",'Row':",ROW(BCLCTT_06106!D17),",","'Format':'numberic'",",'Value':'",SUBSTITUTE(BCLCTT_06106!D17,"'","\'"),"','TargetCode':''}")</f>
        <v>{'SheetId':'ef452680-df25-4941-a691-1ce22933397b','UId':'71dc8581-3df5-40f3-b3ac-6718987960af','Col':4,'Row':17,'Format':'numberic','Value':' ','TargetCode':''}</v>
      </c>
    </row>
    <row r="355" spans="1:1">
      <c r="A355" t="str">
        <f>CONCATENATE("{'SheetId':'ef452680-df25-4941-a691-1ce22933397b'",",","'UId':'d177810c-a849-460a-91a5-9c3622c35ddb'",",'Col':",COLUMN(BCLCTT_06106!E17),",'Row':",ROW(BCLCTT_06106!E17),",","'Format':'numberic'",",'Value':'",SUBSTITUTE(BCLCTT_06106!E17,"'","\'"),"','TargetCode':''}")</f>
        <v>{'SheetId':'ef452680-df25-4941-a691-1ce22933397b','UId':'d177810c-a849-460a-91a5-9c3622c35ddb','Col':5,'Row':17,'Format':'numberic','Value':' ','TargetCode':''}</v>
      </c>
    </row>
    <row r="356" spans="1:1">
      <c r="A356" t="str">
        <f>CONCATENATE("{'SheetId':'ef452680-df25-4941-a691-1ce22933397b'",",","'UId':'9119bace-5ef6-4d90-b83a-ada7b565ab32'",",'Col':",COLUMN(BCLCTT_06106!C18),",'Row':",ROW(BCLCTT_06106!C18),",","'Format':'string'",",'Value':'",SUBSTITUTE(BCLCTT_06106!C18,"'","\'"),"','TargetCode':''}")</f>
        <v>{'SheetId':'ef452680-df25-4941-a691-1ce22933397b','UId':'9119bace-5ef6-4d90-b83a-ada7b565ab32','Col':3,'Row':18,'Format':'string','Value':' ','TargetCode':''}</v>
      </c>
    </row>
    <row r="357" spans="1:1">
      <c r="A357" t="str">
        <f>CONCATENATE("{'SheetId':'ef452680-df25-4941-a691-1ce22933397b'",",","'UId':'bc6d3362-9bff-4495-9d95-bfe3865db23e'",",'Col':",COLUMN(BCLCTT_06106!D18),",'Row':",ROW(BCLCTT_06106!D18),",","'Format':'numberic'",",'Value':'",SUBSTITUTE(BCLCTT_06106!D18,"'","\'"),"','TargetCode':''}")</f>
        <v>{'SheetId':'ef452680-df25-4941-a691-1ce22933397b','UId':'bc6d3362-9bff-4495-9d95-bfe3865db23e','Col':4,'Row':18,'Format':'numberic','Value':' ','TargetCode':''}</v>
      </c>
    </row>
    <row r="358" spans="1:1">
      <c r="A358" t="str">
        <f>CONCATENATE("{'SheetId':'ef452680-df25-4941-a691-1ce22933397b'",",","'UId':'d521c4f8-8815-4a76-9330-997ee2b59831'",",'Col':",COLUMN(BCLCTT_06106!E18),",'Row':",ROW(BCLCTT_06106!E18),",","'Format':'numberic'",",'Value':'",SUBSTITUTE(BCLCTT_06106!E18,"'","\'"),"','TargetCode':''}")</f>
        <v>{'SheetId':'ef452680-df25-4941-a691-1ce22933397b','UId':'d521c4f8-8815-4a76-9330-997ee2b59831','Col':5,'Row':18,'Format':'numberic','Value':' ','TargetCode':''}</v>
      </c>
    </row>
    <row r="359" spans="1:1">
      <c r="A359" t="str">
        <f>CONCATENATE("{'SheetId':'ef452680-df25-4941-a691-1ce22933397b'",",","'UId':'a2ad8389-a343-4ddd-bdc6-e3fd8da8519f'",",'Col':",COLUMN(BCLCTT_06106!C19),",'Row':",ROW(BCLCTT_06106!C19),",","'Format':'string'",",'Value':'",SUBSTITUTE(BCLCTT_06106!C19,"'","\'"),"','TargetCode':''}")</f>
        <v>{'SheetId':'ef452680-df25-4941-a691-1ce22933397b','UId':'a2ad8389-a343-4ddd-bdc6-e3fd8da8519f','Col':3,'Row':19,'Format':'string','Value':' ','TargetCode':''}</v>
      </c>
    </row>
    <row r="360" spans="1:1">
      <c r="A360" t="str">
        <f>CONCATENATE("{'SheetId':'ef452680-df25-4941-a691-1ce22933397b'",",","'UId':'e8e393f5-dc8b-4599-9060-3a57353b43d6'",",'Col':",COLUMN(BCLCTT_06106!D19),",'Row':",ROW(BCLCTT_06106!D19),",","'Format':'numberic'",",'Value':'",SUBSTITUTE(BCLCTT_06106!D19,"'","\'"),"','TargetCode':''}")</f>
        <v>{'SheetId':'ef452680-df25-4941-a691-1ce22933397b','UId':'e8e393f5-dc8b-4599-9060-3a57353b43d6','Col':4,'Row':19,'Format':'numberic','Value':' ','TargetCode':''}</v>
      </c>
    </row>
    <row r="361" spans="1:1">
      <c r="A361" t="str">
        <f>CONCATENATE("{'SheetId':'ef452680-df25-4941-a691-1ce22933397b'",",","'UId':'2cf77c1e-d0cb-409b-8904-51a7ef75cef8'",",'Col':",COLUMN(BCLCTT_06106!E19),",'Row':",ROW(BCLCTT_06106!E19),",","'Format':'numberic'",",'Value':'",SUBSTITUTE(BCLCTT_06106!E19,"'","\'"),"','TargetCode':''}")</f>
        <v>{'SheetId':'ef452680-df25-4941-a691-1ce22933397b','UId':'2cf77c1e-d0cb-409b-8904-51a7ef75cef8','Col':5,'Row':19,'Format':'numberic','Value':' ','TargetCode':''}</v>
      </c>
    </row>
    <row r="362" spans="1:1">
      <c r="A362" t="str">
        <f>CONCATENATE("{'SheetId':'ef452680-df25-4941-a691-1ce22933397b'",",","'UId':'baa13d62-fbd3-42b2-a634-86923caced0f'",",'Col':",COLUMN(BCLCTT_06106!C20),",'Row':",ROW(BCLCTT_06106!C20),",","'Format':'string'",",'Value':'",SUBSTITUTE(BCLCTT_06106!C20,"'","\'"),"','TargetCode':''}")</f>
        <v>{'SheetId':'ef452680-df25-4941-a691-1ce22933397b','UId':'baa13d62-fbd3-42b2-a634-86923caced0f','Col':3,'Row':20,'Format':'string','Value':' ','TargetCode':''}</v>
      </c>
    </row>
    <row r="363" spans="1:1">
      <c r="A363" t="str">
        <f>CONCATENATE("{'SheetId':'ef452680-df25-4941-a691-1ce22933397b'",",","'UId':'35951746-6070-4318-b055-b1ebe9bec4ca'",",'Col':",COLUMN(BCLCTT_06106!D20),",'Row':",ROW(BCLCTT_06106!D20),",","'Format':'numberic'",",'Value':'",SUBSTITUTE(BCLCTT_06106!D20,"'","\'"),"','TargetCode':''}")</f>
        <v>{'SheetId':'ef452680-df25-4941-a691-1ce22933397b','UId':'35951746-6070-4318-b055-b1ebe9bec4ca','Col':4,'Row':20,'Format':'numberic','Value':' ','TargetCode':''}</v>
      </c>
    </row>
    <row r="364" spans="1:1">
      <c r="A364" t="str">
        <f>CONCATENATE("{'SheetId':'ef452680-df25-4941-a691-1ce22933397b'",",","'UId':'065e959f-dd0b-49ef-80c6-d050c80842c0'",",'Col':",COLUMN(BCLCTT_06106!E20),",'Row':",ROW(BCLCTT_06106!E20),",","'Format':'numberic'",",'Value':'",SUBSTITUTE(BCLCTT_06106!E20,"'","\'"),"','TargetCode':''}")</f>
        <v>{'SheetId':'ef452680-df25-4941-a691-1ce22933397b','UId':'065e959f-dd0b-49ef-80c6-d050c80842c0','Col':5,'Row':20,'Format':'numberic','Value':' ','TargetCode':''}</v>
      </c>
    </row>
    <row r="365" spans="1:1">
      <c r="A365" t="str">
        <f>CONCATENATE("{'SheetId':'ef452680-df25-4941-a691-1ce22933397b'",",","'UId':'c327acc9-35f7-4d02-bb6d-1d5c6029f555'",",'Col':",COLUMN(BCLCTT_06106!C21),",'Row':",ROW(BCLCTT_06106!C21),",","'Format':'string'",",'Value':'",SUBSTITUTE(BCLCTT_06106!C21,"'","\'"),"','TargetCode':''}")</f>
        <v>{'SheetId':'ef452680-df25-4941-a691-1ce22933397b','UId':'c327acc9-35f7-4d02-bb6d-1d5c6029f555','Col':3,'Row':21,'Format':'string','Value':' ','TargetCode':''}</v>
      </c>
    </row>
    <row r="366" spans="1:1">
      <c r="A366" t="str">
        <f>CONCATENATE("{'SheetId':'ef452680-df25-4941-a691-1ce22933397b'",",","'UId':'05f3c2c4-28e3-4d79-a852-734b8b0b4a8b'",",'Col':",COLUMN(BCLCTT_06106!D21),",'Row':",ROW(BCLCTT_06106!D21),",","'Format':'numberic'",",'Value':'",SUBSTITUTE(BCLCTT_06106!D21,"'","\'"),"','TargetCode':''}")</f>
        <v>{'SheetId':'ef452680-df25-4941-a691-1ce22933397b','UId':'05f3c2c4-28e3-4d79-a852-734b8b0b4a8b','Col':4,'Row':21,'Format':'numberic','Value':' ','TargetCode':''}</v>
      </c>
    </row>
    <row r="367" spans="1:1">
      <c r="A367" t="str">
        <f>CONCATENATE("{'SheetId':'ef452680-df25-4941-a691-1ce22933397b'",",","'UId':'1e728ea3-d324-40a8-84db-b394495269dd'",",'Col':",COLUMN(BCLCTT_06106!E21),",'Row':",ROW(BCLCTT_06106!E21),",","'Format':'numberic'",",'Value':'",SUBSTITUTE(BCLCTT_06106!E21,"'","\'"),"','TargetCode':''}")</f>
        <v>{'SheetId':'ef452680-df25-4941-a691-1ce22933397b','UId':'1e728ea3-d324-40a8-84db-b394495269dd','Col':5,'Row':21,'Format':'numberic','Value':' ','TargetCode':''}</v>
      </c>
    </row>
    <row r="368" spans="1:1">
      <c r="A368" t="str">
        <f>CONCATENATE("{'SheetId':'ef452680-df25-4941-a691-1ce22933397b'",",","'UId':'306ef596-2755-496d-a8fb-f43f89290233'",",'Col':",COLUMN(BCLCTT_06106!C22),",'Row':",ROW(BCLCTT_06106!C22),",","'Format':'string'",",'Value':'",SUBSTITUTE(BCLCTT_06106!C22,"'","\'"),"','TargetCode':''}")</f>
        <v>{'SheetId':'ef452680-df25-4941-a691-1ce22933397b','UId':'306ef596-2755-496d-a8fb-f43f89290233','Col':3,'Row':22,'Format':'string','Value':' ','TargetCode':''}</v>
      </c>
    </row>
    <row r="369" spans="1:1">
      <c r="A369" t="str">
        <f>CONCATENATE("{'SheetId':'ef452680-df25-4941-a691-1ce22933397b'",",","'UId':'a71bb21f-d11b-457e-bb65-a61e914f8c66'",",'Col':",COLUMN(BCLCTT_06106!D22),",'Row':",ROW(BCLCTT_06106!D22),",","'Format':'numberic'",",'Value':'",SUBSTITUTE(BCLCTT_06106!D22,"'","\'"),"','TargetCode':''}")</f>
        <v>{'SheetId':'ef452680-df25-4941-a691-1ce22933397b','UId':'a71bb21f-d11b-457e-bb65-a61e914f8c66','Col':4,'Row':22,'Format':'numberic','Value':' ','TargetCode':''}</v>
      </c>
    </row>
    <row r="370" spans="1:1">
      <c r="A370" t="str">
        <f>CONCATENATE("{'SheetId':'ef452680-df25-4941-a691-1ce22933397b'",",","'UId':'194ae09d-8477-4ac5-bb19-205ed7a8e9cb'",",'Col':",COLUMN(BCLCTT_06106!E22),",'Row':",ROW(BCLCTT_06106!E22),",","'Format':'numberic'",",'Value':'",SUBSTITUTE(BCLCTT_06106!E22,"'","\'"),"','TargetCode':''}")</f>
        <v>{'SheetId':'ef452680-df25-4941-a691-1ce22933397b','UId':'194ae09d-8477-4ac5-bb19-205ed7a8e9cb','Col':5,'Row':22,'Format':'numberic','Value':' ','TargetCode':''}</v>
      </c>
    </row>
    <row r="371" spans="1:1">
      <c r="A371" t="str">
        <f>CONCATENATE("{'SheetId':'ef452680-df25-4941-a691-1ce22933397b'",",","'UId':'ce528b65-ef6f-4927-a4ec-d1f2a6f7caa9'",",'Col':",COLUMN(BCLCTT_06106!C23),",'Row':",ROW(BCLCTT_06106!C23),",","'Format':'string'",",'Value':'",SUBSTITUTE(BCLCTT_06106!C23,"'","\'"),"','TargetCode':''}")</f>
        <v>{'SheetId':'ef452680-df25-4941-a691-1ce22933397b','UId':'ce528b65-ef6f-4927-a4ec-d1f2a6f7caa9','Col':3,'Row':23,'Format':'string','Value':' ','TargetCode':''}</v>
      </c>
    </row>
    <row r="372" spans="1:1">
      <c r="A372" t="str">
        <f>CONCATENATE("{'SheetId':'ef452680-df25-4941-a691-1ce22933397b'",",","'UId':'22194979-9861-4d25-8849-da30eb523052'",",'Col':",COLUMN(BCLCTT_06106!D23),",'Row':",ROW(BCLCTT_06106!D23),",","'Format':'numberic'",",'Value':'",SUBSTITUTE(BCLCTT_06106!D23,"'","\'"),"','TargetCode':''}")</f>
        <v>{'SheetId':'ef452680-df25-4941-a691-1ce22933397b','UId':'22194979-9861-4d25-8849-da30eb523052','Col':4,'Row':23,'Format':'numberic','Value':' ','TargetCode':''}</v>
      </c>
    </row>
    <row r="373" spans="1:1">
      <c r="A373" t="str">
        <f>CONCATENATE("{'SheetId':'ef452680-df25-4941-a691-1ce22933397b'",",","'UId':'1f0487fb-3057-451e-bdc6-398d03a795ed'",",'Col':",COLUMN(BCLCTT_06106!E23),",'Row':",ROW(BCLCTT_06106!E23),",","'Format':'numberic'",",'Value':'",SUBSTITUTE(BCLCTT_06106!E23,"'","\'"),"','TargetCode':''}")</f>
        <v>{'SheetId':'ef452680-df25-4941-a691-1ce22933397b','UId':'1f0487fb-3057-451e-bdc6-398d03a795ed','Col':5,'Row':23,'Format':'numberic','Value':' ','TargetCode':''}</v>
      </c>
    </row>
    <row r="374" spans="1:1">
      <c r="A374" t="str">
        <f>CONCATENATE("{'SheetId':'ef452680-df25-4941-a691-1ce22933397b'",",","'UId':'a4d1ad83-5b29-48f3-9bb1-650d56612f15'",",'Col':",COLUMN(BCLCTT_06106!C24),",'Row':",ROW(BCLCTT_06106!C24),",","'Format':'string'",",'Value':'",SUBSTITUTE(BCLCTT_06106!C24,"'","\'"),"','TargetCode':''}")</f>
        <v>{'SheetId':'ef452680-df25-4941-a691-1ce22933397b','UId':'a4d1ad83-5b29-48f3-9bb1-650d56612f15','Col':3,'Row':24,'Format':'string','Value':' ','TargetCode':''}</v>
      </c>
    </row>
    <row r="375" spans="1:1">
      <c r="A375" t="str">
        <f>CONCATENATE("{'SheetId':'ef452680-df25-4941-a691-1ce22933397b'",",","'UId':'cf43414a-8dd0-4e35-945d-4c3e23fa2184'",",'Col':",COLUMN(BCLCTT_06106!D24),",'Row':",ROW(BCLCTT_06106!D24),",","'Format':'numberic'",",'Value':'",SUBSTITUTE(BCLCTT_06106!D24,"'","\'"),"','TargetCode':''}")</f>
        <v>{'SheetId':'ef452680-df25-4941-a691-1ce22933397b','UId':'cf43414a-8dd0-4e35-945d-4c3e23fa2184','Col':4,'Row':24,'Format':'numberic','Value':' ','TargetCode':''}</v>
      </c>
    </row>
    <row r="376" spans="1:1">
      <c r="A376" t="str">
        <f>CONCATENATE("{'SheetId':'ef452680-df25-4941-a691-1ce22933397b'",",","'UId':'929fb0f9-f61f-4f7b-a5e4-86681555f85b'",",'Col':",COLUMN(BCLCTT_06106!E24),",'Row':",ROW(BCLCTT_06106!E24),",","'Format':'numberic'",",'Value':'",SUBSTITUTE(BCLCTT_06106!E24,"'","\'"),"','TargetCode':''}")</f>
        <v>{'SheetId':'ef452680-df25-4941-a691-1ce22933397b','UId':'929fb0f9-f61f-4f7b-a5e4-86681555f85b','Col':5,'Row':24,'Format':'numberic','Value':' ','TargetCode':''}</v>
      </c>
    </row>
    <row r="377" spans="1:1">
      <c r="A377" t="str">
        <f>CONCATENATE("{'SheetId':'ef452680-df25-4941-a691-1ce22933397b'",",","'UId':'d32005b8-c3a6-474a-9ae0-701d4d8677cb'",",'Col':",COLUMN(BCLCTT_06106!C25),",'Row':",ROW(BCLCTT_06106!C25),",","'Format':'string'",",'Value':'",SUBSTITUTE(BCLCTT_06106!C25,"'","\'"),"','TargetCode':''}")</f>
        <v>{'SheetId':'ef452680-df25-4941-a691-1ce22933397b','UId':'d32005b8-c3a6-474a-9ae0-701d4d8677cb','Col':3,'Row':25,'Format':'string','Value':' ','TargetCode':''}</v>
      </c>
    </row>
    <row r="378" spans="1:1">
      <c r="A378" t="str">
        <f>CONCATENATE("{'SheetId':'ef452680-df25-4941-a691-1ce22933397b'",",","'UId':'e441da85-d331-49c6-a0ca-27f3c8ff9c39'",",'Col':",COLUMN(BCLCTT_06106!D25),",'Row':",ROW(BCLCTT_06106!D25),",","'Format':'numberic'",",'Value':'",SUBSTITUTE(BCLCTT_06106!D25,"'","\'"),"','TargetCode':''}")</f>
        <v>{'SheetId':'ef452680-df25-4941-a691-1ce22933397b','UId':'e441da85-d331-49c6-a0ca-27f3c8ff9c39','Col':4,'Row':25,'Format':'numberic','Value':' ','TargetCode':''}</v>
      </c>
    </row>
    <row r="379" spans="1:1">
      <c r="A379" t="str">
        <f>CONCATENATE("{'SheetId':'ef452680-df25-4941-a691-1ce22933397b'",",","'UId':'14090077-ccff-4cb3-87d0-7fa7ea4b07c1'",",'Col':",COLUMN(BCLCTT_06106!E25),",'Row':",ROW(BCLCTT_06106!E25),",","'Format':'numberic'",",'Value':'",SUBSTITUTE(BCLCTT_06106!E25,"'","\'"),"','TargetCode':''}")</f>
        <v>{'SheetId':'ef452680-df25-4941-a691-1ce22933397b','UId':'14090077-ccff-4cb3-87d0-7fa7ea4b07c1','Col':5,'Row':25,'Format':'numberic','Value':' ','TargetCode':''}</v>
      </c>
    </row>
    <row r="380" spans="1:1">
      <c r="A380" t="str">
        <f>CONCATENATE("{'SheetId':'ef452680-df25-4941-a691-1ce22933397b'",",","'UId':'c3363c84-3785-4315-b491-844c76e78b8d'",",'Col':",COLUMN(BCLCTT_06106!C26),",'Row':",ROW(BCLCTT_06106!C26),",","'Format':'string'",",'Value':'",SUBSTITUTE(BCLCTT_06106!C26,"'","\'"),"','TargetCode':''}")</f>
        <v>{'SheetId':'ef452680-df25-4941-a691-1ce22933397b','UId':'c3363c84-3785-4315-b491-844c76e78b8d','Col':3,'Row':26,'Format':'string','Value':' ','TargetCode':''}</v>
      </c>
    </row>
    <row r="381" spans="1:1">
      <c r="A381" t="str">
        <f>CONCATENATE("{'SheetId':'ef452680-df25-4941-a691-1ce22933397b'",",","'UId':'938648df-c66b-4028-9f64-9a5bc42fc2af'",",'Col':",COLUMN(BCLCTT_06106!D26),",'Row':",ROW(BCLCTT_06106!D26),",","'Format':'numberic'",",'Value':'",SUBSTITUTE(BCLCTT_06106!D26,"'","\'"),"','TargetCode':''}")</f>
        <v>{'SheetId':'ef452680-df25-4941-a691-1ce22933397b','UId':'938648df-c66b-4028-9f64-9a5bc42fc2af','Col':4,'Row':26,'Format':'numberic','Value':' ','TargetCode':''}</v>
      </c>
    </row>
    <row r="382" spans="1:1">
      <c r="A382" t="str">
        <f>CONCATENATE("{'SheetId':'ef452680-df25-4941-a691-1ce22933397b'",",","'UId':'66b647d4-b55d-4ced-8917-a5215b1ca343'",",'Col':",COLUMN(BCLCTT_06106!E26),",'Row':",ROW(BCLCTT_06106!E26),",","'Format':'numberic'",",'Value':'",SUBSTITUTE(BCLCTT_06106!E26,"'","\'"),"','TargetCode':''}")</f>
        <v>{'SheetId':'ef452680-df25-4941-a691-1ce22933397b','UId':'66b647d4-b55d-4ced-8917-a5215b1ca343','Col':5,'Row':26,'Format':'numberic','Value':' ','TargetCode':''}</v>
      </c>
    </row>
    <row r="383" spans="1:1">
      <c r="A383" t="str">
        <f>CONCATENATE("{'SheetId':'ef452680-df25-4941-a691-1ce22933397b'",",","'UId':'41788f07-af97-49e3-b689-05b53c82d4a9'",",'Col':",COLUMN(BCLCTT_06106!C27),",'Row':",ROW(BCLCTT_06106!C27),",","'Format':'string'",",'Value':'",SUBSTITUTE(BCLCTT_06106!C27,"'","\'"),"','TargetCode':''}")</f>
        <v>{'SheetId':'ef452680-df25-4941-a691-1ce22933397b','UId':'41788f07-af97-49e3-b689-05b53c82d4a9','Col':3,'Row':27,'Format':'string','Value':' ','TargetCode':''}</v>
      </c>
    </row>
    <row r="384" spans="1:1">
      <c r="A384" t="str">
        <f>CONCATENATE("{'SheetId':'ef452680-df25-4941-a691-1ce22933397b'",",","'UId':'fc7abc4a-6f16-4069-ba0c-a8651cee4e24'",",'Col':",COLUMN(BCLCTT_06106!D27),",'Row':",ROW(BCLCTT_06106!D27),",","'Format':'numberic'",",'Value':'",SUBSTITUTE(BCLCTT_06106!D27,"'","\'"),"','TargetCode':''}")</f>
        <v>{'SheetId':'ef452680-df25-4941-a691-1ce22933397b','UId':'fc7abc4a-6f16-4069-ba0c-a8651cee4e24','Col':4,'Row':27,'Format':'numberic','Value':' ','TargetCode':''}</v>
      </c>
    </row>
    <row r="385" spans="1:1">
      <c r="A385" t="str">
        <f>CONCATENATE("{'SheetId':'ef452680-df25-4941-a691-1ce22933397b'",",","'UId':'c9a87066-f983-4944-a1a7-548b718eb5bf'",",'Col':",COLUMN(BCLCTT_06106!E27),",'Row':",ROW(BCLCTT_06106!E27),",","'Format':'numberic'",",'Value':'",SUBSTITUTE(BCLCTT_06106!E27,"'","\'"),"','TargetCode':''}")</f>
        <v>{'SheetId':'ef452680-df25-4941-a691-1ce22933397b','UId':'c9a87066-f983-4944-a1a7-548b718eb5bf','Col':5,'Row':27,'Format':'numberic','Value':' ','TargetCode':''}</v>
      </c>
    </row>
    <row r="386" spans="1:1">
      <c r="A386" t="str">
        <f>CONCATENATE("{'SheetId':'ef452680-df25-4941-a691-1ce22933397b'",",","'UId':'d41389f5-1291-495d-8e27-43f5e2fb42cc'",",'Col':",COLUMN(BCLCTT_06106!C28),",'Row':",ROW(BCLCTT_06106!C28),",","'Format':'string'",",'Value':'",SUBSTITUTE(BCLCTT_06106!C28,"'","\'"),"','TargetCode':''}")</f>
        <v>{'SheetId':'ef452680-df25-4941-a691-1ce22933397b','UId':'d41389f5-1291-495d-8e27-43f5e2fb42cc','Col':3,'Row':28,'Format':'string','Value':'','TargetCode':''}</v>
      </c>
    </row>
    <row r="387" spans="1:1">
      <c r="A387" t="str">
        <f>CONCATENATE("{'SheetId':'ef452680-df25-4941-a691-1ce22933397b'",",","'UId':'7df7814d-765c-49e3-8047-f1611b9f47a7'",",'Col':",COLUMN(BCLCTT_06106!D28),",'Row':",ROW(BCLCTT_06106!D28),",","'Format':'numberic'",",'Value':'",SUBSTITUTE(BCLCTT_06106!D28,"'","\'"),"','TargetCode':''}")</f>
        <v>{'SheetId':'ef452680-df25-4941-a691-1ce22933397b','UId':'7df7814d-765c-49e3-8047-f1611b9f47a7','Col':4,'Row':28,'Format':'numberic','Value':'','TargetCode':''}</v>
      </c>
    </row>
    <row r="388" spans="1:1">
      <c r="A388" t="str">
        <f>CONCATENATE("{'SheetId':'ef452680-df25-4941-a691-1ce22933397b'",",","'UId':'0ab3c8e7-53e5-4171-b216-e3265212b713'",",'Col':",COLUMN(BCLCTT_06106!E28),",'Row':",ROW(BCLCTT_06106!E28),",","'Format':'numberic'",",'Value':'",SUBSTITUTE(BCLCTT_06106!E28,"'","\'"),"','TargetCode':''}")</f>
        <v>{'SheetId':'ef452680-df25-4941-a691-1ce22933397b','UId':'0ab3c8e7-53e5-4171-b216-e3265212b713','Col':5,'Row':28,'Format':'numberic','Value':'','TargetCode':''}</v>
      </c>
    </row>
    <row r="389" spans="1:1">
      <c r="A389" t="str">
        <f>CONCATENATE("{'SheetId':'ef452680-df25-4941-a691-1ce22933397b'",",","'UId':'b6c4bda5-df55-42bf-a6d5-d33649701aa4'",",'Col':",COLUMN(BCLCTT_06106!C29),",'Row':",ROW(BCLCTT_06106!C29),",","'Format':'string'",",'Value':'",SUBSTITUTE(BCLCTT_06106!C29,"'","\'"),"','TargetCode':''}")</f>
        <v>{'SheetId':'ef452680-df25-4941-a691-1ce22933397b','UId':'b6c4bda5-df55-42bf-a6d5-d33649701aa4','Col':3,'Row':29,'Format':'string','Value':'','TargetCode':''}</v>
      </c>
    </row>
    <row r="390" spans="1:1">
      <c r="A390" t="str">
        <f>CONCATENATE("{'SheetId':'ef452680-df25-4941-a691-1ce22933397b'",",","'UId':'f9aadb8d-e881-4981-9872-81588dbf6573'",",'Col':",COLUMN(BCLCTT_06106!D29),",'Row':",ROW(BCLCTT_06106!D29),",","'Format':'numberic'",",'Value':'",SUBSTITUTE(BCLCTT_06106!D29,"'","\'"),"','TargetCode':''}")</f>
        <v>{'SheetId':'ef452680-df25-4941-a691-1ce22933397b','UId':'f9aadb8d-e881-4981-9872-81588dbf6573','Col':4,'Row':29,'Format':'numberic','Value':'','TargetCode':''}</v>
      </c>
    </row>
    <row r="391" spans="1:1">
      <c r="A391" t="str">
        <f>CONCATENATE("{'SheetId':'ef452680-df25-4941-a691-1ce22933397b'",",","'UId':'9c1050e9-7ea8-45ff-99be-3b5017ec5b7c'",",'Col':",COLUMN(BCLCTT_06106!E29),",'Row':",ROW(BCLCTT_06106!E29),",","'Format':'numberic'",",'Value':'",SUBSTITUTE(BCLCTT_06106!E29,"'","\'"),"','TargetCode':''}")</f>
        <v>{'SheetId':'ef452680-df25-4941-a691-1ce22933397b','UId':'9c1050e9-7ea8-45ff-99be-3b5017ec5b7c','Col':5,'Row':29,'Format':'numberic','Value':'','TargetCode':''}</v>
      </c>
    </row>
    <row r="392" spans="1:1">
      <c r="A392" t="str">
        <f>CONCATENATE("{'SheetId':'ef452680-df25-4941-a691-1ce22933397b'",",","'UId':'6c931265-9897-4742-ae81-db408049df17'",",'Col':",COLUMN(BCLCTT_06106!C30),",'Row':",ROW(BCLCTT_06106!C30),",","'Format':'string'",",'Value':'",SUBSTITUTE(BCLCTT_06106!C30,"'","\'"),"','TargetCode':''}")</f>
        <v>{'SheetId':'ef452680-df25-4941-a691-1ce22933397b','UId':'6c931265-9897-4742-ae81-db408049df17','Col':3,'Row':30,'Format':'string','Value':'','TargetCode':''}</v>
      </c>
    </row>
    <row r="393" spans="1:1">
      <c r="A393" t="str">
        <f>CONCATENATE("{'SheetId':'ef452680-df25-4941-a691-1ce22933397b'",",","'UId':'c3bc1f22-98ee-4a7c-8fd4-d268624d73c2'",",'Col':",COLUMN(BCLCTT_06106!D30),",'Row':",ROW(BCLCTT_06106!D30),",","'Format':'numberic'",",'Value':'",SUBSTITUTE(BCLCTT_06106!D30,"'","\'"),"','TargetCode':''}")</f>
        <v>{'SheetId':'ef452680-df25-4941-a691-1ce22933397b','UId':'c3bc1f22-98ee-4a7c-8fd4-d268624d73c2','Col':4,'Row':30,'Format':'numberic','Value':'','TargetCode':''}</v>
      </c>
    </row>
    <row r="394" spans="1:1">
      <c r="A394" t="str">
        <f>CONCATENATE("{'SheetId':'ef452680-df25-4941-a691-1ce22933397b'",",","'UId':'aa9cd5f5-932e-4fab-922f-9292943acaeb'",",'Col':",COLUMN(BCLCTT_06106!E30),",'Row':",ROW(BCLCTT_06106!E30),",","'Format':'numberic'",",'Value':'",SUBSTITUTE(BCLCTT_06106!E30,"'","\'"),"','TargetCode':''}")</f>
        <v>{'SheetId':'ef452680-df25-4941-a691-1ce22933397b','UId':'aa9cd5f5-932e-4fab-922f-9292943acaeb','Col':5,'Row':30,'Format':'numberic','Value':'','TargetCode':''}</v>
      </c>
    </row>
    <row r="395" spans="1:1">
      <c r="A395" t="str">
        <f>CONCATENATE("{'SheetId':'ef452680-df25-4941-a691-1ce22933397b'",",","'UId':'83d6bcae-bf4b-44b0-afda-6519c6f4a8f5'",",'Col':",COLUMN(BCLCTT_06106!C31),",'Row':",ROW(BCLCTT_06106!C31),",","'Format':'string'",",'Value':'",SUBSTITUTE(BCLCTT_06106!C31,"'","\'"),"','TargetCode':''}")</f>
        <v>{'SheetId':'ef452680-df25-4941-a691-1ce22933397b','UId':'83d6bcae-bf4b-44b0-afda-6519c6f4a8f5','Col':3,'Row':31,'Format':'string','Value':'','TargetCode':''}</v>
      </c>
    </row>
    <row r="396" spans="1:1">
      <c r="A396" t="str">
        <f>CONCATENATE("{'SheetId':'ef452680-df25-4941-a691-1ce22933397b'",",","'UId':'5d56d6da-b14e-4962-a20d-492bbfd5dff4'",",'Col':",COLUMN(BCLCTT_06106!D31),",'Row':",ROW(BCLCTT_06106!D31),",","'Format':'numberic'",",'Value':'",SUBSTITUTE(BCLCTT_06106!D31,"'","\'"),"','TargetCode':''}")</f>
        <v>{'SheetId':'ef452680-df25-4941-a691-1ce22933397b','UId':'5d56d6da-b14e-4962-a20d-492bbfd5dff4','Col':4,'Row':31,'Format':'numberic','Value':'','TargetCode':''}</v>
      </c>
    </row>
    <row r="397" spans="1:1">
      <c r="A397" t="str">
        <f>CONCATENATE("{'SheetId':'ef452680-df25-4941-a691-1ce22933397b'",",","'UId':'76038c44-aad1-402e-8a6d-06facaafd947'",",'Col':",COLUMN(BCLCTT_06106!E31),",'Row':",ROW(BCLCTT_06106!E31),",","'Format':'numberic'",",'Value':'",SUBSTITUTE(BCLCTT_06106!E31,"'","\'"),"','TargetCode':''}")</f>
        <v>{'SheetId':'ef452680-df25-4941-a691-1ce22933397b','UId':'76038c44-aad1-402e-8a6d-06facaafd947','Col':5,'Row':31,'Format':'numberic','Value':'','TargetCode':''}</v>
      </c>
    </row>
    <row r="398" spans="1:1">
      <c r="A398" t="str">
        <f>CONCATENATE("{'SheetId':'ef452680-df25-4941-a691-1ce22933397b'",",","'UId':'3c399702-7d39-465f-89c3-29cd26747b3e'",",'Col':",COLUMN(BCLCTT_06106!C32),",'Row':",ROW(BCLCTT_06106!C32),",","'Format':'string'",",'Value':'",SUBSTITUTE(BCLCTT_06106!C32,"'","\'"),"','TargetCode':''}")</f>
        <v>{'SheetId':'ef452680-df25-4941-a691-1ce22933397b','UId':'3c399702-7d39-465f-89c3-29cd26747b3e','Col':3,'Row':32,'Format':'string','Value':'','TargetCode':''}</v>
      </c>
    </row>
    <row r="399" spans="1:1">
      <c r="A399" t="str">
        <f>CONCATENATE("{'SheetId':'ef452680-df25-4941-a691-1ce22933397b'",",","'UId':'00d0603e-6e77-46f5-961c-7f1013e7c117'",",'Col':",COLUMN(BCLCTT_06106!D32),",'Row':",ROW(BCLCTT_06106!D32),",","'Format':'numberic'",",'Value':'",SUBSTITUTE(BCLCTT_06106!D32,"'","\'"),"','TargetCode':''}")</f>
        <v>{'SheetId':'ef452680-df25-4941-a691-1ce22933397b','UId':'00d0603e-6e77-46f5-961c-7f1013e7c117','Col':4,'Row':32,'Format':'numberic','Value':'','TargetCode':''}</v>
      </c>
    </row>
    <row r="400" spans="1:1">
      <c r="A400" t="str">
        <f>CONCATENATE("{'SheetId':'ef452680-df25-4941-a691-1ce22933397b'",",","'UId':'34f80578-fbc7-48a0-b51e-a20520f2cf0a'",",'Col':",COLUMN(BCLCTT_06106!E32),",'Row':",ROW(BCLCTT_06106!E32),",","'Format':'numberic'",",'Value':'",SUBSTITUTE(BCLCTT_06106!E32,"'","\'"),"','TargetCode':''}")</f>
        <v>{'SheetId':'ef452680-df25-4941-a691-1ce22933397b','UId':'34f80578-fbc7-48a0-b51e-a20520f2cf0a','Col':5,'Row':32,'Format':'numberic','Value':'','TargetCode':''}</v>
      </c>
    </row>
    <row r="401" spans="1:1">
      <c r="A401" t="str">
        <f>CONCATENATE("{'SheetId':'cc406fba-8c30-4081-be82-2550c22e6d74'",",","'UId':'79357f94-95f3-4054-9e09-d7eb32a09556'",",'Col':",COLUMN(GTTSRong_06107!E3),",'Row':",ROW(GTTSRong_06107!E3),",","'Format':'numberic'",",'Value':'",SUBSTITUTE(GTTSRong_06107!E3,"'","\'"),"','TargetCode':''}")</f>
        <v>{'SheetId':'cc406fba-8c30-4081-be82-2550c22e6d74','UId':'79357f94-95f3-4054-9e09-d7eb32a09556','Col':5,'Row':3,'Format':'numberic','Value':'2244176766','TargetCode':''}</v>
      </c>
    </row>
    <row r="402" spans="1:1">
      <c r="A402" t="str">
        <f>CONCATENATE("{'SheetId':'cc406fba-8c30-4081-be82-2550c22e6d74'",",","'UId':'a6dcd0ad-4b54-4a2d-b8ce-1c1a75847de7'",",'Col':",COLUMN(GTTSRong_06107!F3),",'Row':",ROW(GTTSRong_06107!F3),",","'Format':'numberic'",",'Value':'",SUBSTITUTE(GTTSRong_06107!F3,"'","\'"),"','TargetCode':''}")</f>
        <v>{'SheetId':'cc406fba-8c30-4081-be82-2550c22e6d74','UId':'a6dcd0ad-4b54-4a2d-b8ce-1c1a75847de7','Col':6,'Row':3,'Format':'numberic','Value':'2663686046','TargetCode':''}</v>
      </c>
    </row>
    <row r="403" spans="1:1">
      <c r="A403" t="str">
        <f>CONCATENATE("{'SheetId':'cc406fba-8c30-4081-be82-2550c22e6d74'",",","'UId':'28d8656d-5755-4bd7-8f0d-afa52274ec2c'",",'Col':",COLUMN(GTTSRong_06107!E4),",'Row':",ROW(GTTSRong_06107!E4),",","'Format':'numberic'",",'Value':'",SUBSTITUTE(GTTSRong_06107!E4,"'","\'"),"','TargetCode':''}")</f>
        <v>{'SheetId':'cc406fba-8c30-4081-be82-2550c22e6d74','UId':'28d8656d-5755-4bd7-8f0d-afa52274ec2c','Col':5,'Row':4,'Format':'numberic','Value':'2244176766','TargetCode':''}</v>
      </c>
    </row>
    <row r="404" spans="1:1">
      <c r="A404" t="str">
        <f>CONCATENATE("{'SheetId':'cc406fba-8c30-4081-be82-2550c22e6d74'",",","'UId':'8ecb6551-e32d-44d4-82f1-eeb2ea295e18'",",'Col':",COLUMN(GTTSRong_06107!F4),",'Row':",ROW(GTTSRong_06107!F4),",","'Format':'numberic'",",'Value':'",SUBSTITUTE(GTTSRong_06107!F4,"'","\'"),"','TargetCode':''}")</f>
        <v>{'SheetId':'cc406fba-8c30-4081-be82-2550c22e6d74','UId':'8ecb6551-e32d-44d4-82f1-eeb2ea295e18','Col':6,'Row':4,'Format':'numberic','Value':'2663686046','TargetCode':''}</v>
      </c>
    </row>
    <row r="405" spans="1:1">
      <c r="A405" t="str">
        <f>CONCATENATE("{'SheetId':'cc406fba-8c30-4081-be82-2550c22e6d74'",",","'UId':'9eead62f-62bf-4f0d-9aec-bca2396ddc4f'",",'Col':",COLUMN(GTTSRong_06107!E5),",'Row':",ROW(GTTSRong_06107!E5),",","'Format':'numberic'",",'Value':'",SUBSTITUTE(GTTSRong_06107!E5,"'","\'"),"','TargetCode':''}")</f>
        <v>{'SheetId':'cc406fba-8c30-4081-be82-2550c22e6d74','UId':'9eead62f-62bf-4f0d-9aec-bca2396ddc4f','Col':5,'Row':5,'Format':'numberic','Value':'0','TargetCode':''}</v>
      </c>
    </row>
    <row r="406" spans="1:1">
      <c r="A406" t="str">
        <f>CONCATENATE("{'SheetId':'cc406fba-8c30-4081-be82-2550c22e6d74'",",","'UId':'2455cfd2-f1e7-43be-8ca0-b39729692257'",",'Col':",COLUMN(GTTSRong_06107!F5),",'Row':",ROW(GTTSRong_06107!F5),",","'Format':'numberic'",",'Value':'",SUBSTITUTE(GTTSRong_06107!F5,"'","\'"),"','TargetCode':''}")</f>
        <v>{'SheetId':'cc406fba-8c30-4081-be82-2550c22e6d74','UId':'2455cfd2-f1e7-43be-8ca0-b39729692257','Col':6,'Row':5,'Format':'numberic','Value':'0','TargetCode':''}</v>
      </c>
    </row>
    <row r="407" spans="1:1">
      <c r="A407" t="str">
        <f>CONCATENATE("{'SheetId':'cc406fba-8c30-4081-be82-2550c22e6d74'",",","'UId':'796ec01d-1a83-4925-bb5b-b3997dcc946f'",",'Col':",COLUMN(GTTSRong_06107!E6),",'Row':",ROW(GTTSRong_06107!E6),",","'Format':'numberic'",",'Value':'",SUBSTITUTE(GTTSRong_06107!E6,"'","\'"),"','TargetCode':''}")</f>
        <v>{'SheetId':'cc406fba-8c30-4081-be82-2550c22e6d74','UId':'796ec01d-1a83-4925-bb5b-b3997dcc946f','Col':5,'Row':6,'Format':'numberic','Value':'-321688583','TargetCode':''}</v>
      </c>
    </row>
    <row r="408" spans="1:1">
      <c r="A408" t="str">
        <f>CONCATENATE("{'SheetId':'cc406fba-8c30-4081-be82-2550c22e6d74'",",","'UId':'cb92336c-ef1f-4956-af67-8db239266b79'",",'Col':",COLUMN(GTTSRong_06107!F6),",'Row':",ROW(GTTSRong_06107!F6),",","'Format':'numberic'",",'Value':'",SUBSTITUTE(GTTSRong_06107!F6,"'","\'"),"','TargetCode':''}")</f>
        <v>{'SheetId':'cc406fba-8c30-4081-be82-2550c22e6d74','UId':'cb92336c-ef1f-4956-af67-8db239266b79','Col':6,'Row':6,'Format':'numberic','Value':'-72451159','TargetCode':''}</v>
      </c>
    </row>
    <row r="409" spans="1:1">
      <c r="A409" t="str">
        <f>CONCATENATE("{'SheetId':'cc406fba-8c30-4081-be82-2550c22e6d74'",",","'UId':'8f9c3797-85e9-4375-92ff-6feaa0e7b1b7'",",'Col':",COLUMN(GTTSRong_06107!E7),",'Row':",ROW(GTTSRong_06107!E7),",","'Format':'numberic'",",'Value':'",SUBSTITUTE(GTTSRong_06107!E7,"'","\'"),"','TargetCode':''}")</f>
        <v>{'SheetId':'cc406fba-8c30-4081-be82-2550c22e6d74','UId':'8f9c3797-85e9-4375-92ff-6feaa0e7b1b7','Col':5,'Row':7,'Format':'numberic','Value':'19144000','TargetCode':''}</v>
      </c>
    </row>
    <row r="410" spans="1:1">
      <c r="A410" t="str">
        <f>CONCATENATE("{'SheetId':'cc406fba-8c30-4081-be82-2550c22e6d74'",",","'UId':'baa41148-c59f-4afa-a311-5d423c7a8cc2'",",'Col':",COLUMN(GTTSRong_06107!F7),",'Row':",ROW(GTTSRong_06107!F7),",","'Format':'numberic'",",'Value':'",SUBSTITUTE(GTTSRong_06107!F7,"'","\'"),"','TargetCode':''}")</f>
        <v>{'SheetId':'cc406fba-8c30-4081-be82-2550c22e6d74','UId':'baa41148-c59f-4afa-a311-5d423c7a8cc2','Col':6,'Row':7,'Format':'numberic','Value':'127500000','TargetCode':''}</v>
      </c>
    </row>
    <row r="411" spans="1:1">
      <c r="A411" t="str">
        <f>CONCATENATE("{'SheetId':'cc406fba-8c30-4081-be82-2550c22e6d74'",",","'UId':'e32293a1-cd42-4d6b-b8f0-d25ffb5d0ae7'",",'Col':",COLUMN(GTTSRong_06107!E8),",'Row':",ROW(GTTSRong_06107!E8),",","'Format':'numberic'",",'Value':'",SUBSTITUTE(GTTSRong_06107!E8,"'","\'"),"','TargetCode':''}")</f>
        <v>{'SheetId':'cc406fba-8c30-4081-be82-2550c22e6d74','UId':'e32293a1-cd42-4d6b-b8f0-d25ffb5d0ae7','Col':5,'Row':8,'Format':'numberic','Value':'-340832583','TargetCode':''}</v>
      </c>
    </row>
    <row r="412" spans="1:1">
      <c r="A412" t="str">
        <f>CONCATENATE("{'SheetId':'cc406fba-8c30-4081-be82-2550c22e6d74'",",","'UId':'f97009f8-4bb0-4fb7-b47b-9c05c01fa01a'",",'Col':",COLUMN(GTTSRong_06107!F8),",'Row':",ROW(GTTSRong_06107!F8),",","'Format':'numberic'",",'Value':'",SUBSTITUTE(GTTSRong_06107!F8,"'","\'"),"','TargetCode':''}")</f>
        <v>{'SheetId':'cc406fba-8c30-4081-be82-2550c22e6d74','UId':'f97009f8-4bb0-4fb7-b47b-9c05c01fa01a','Col':6,'Row':8,'Format':'numberic','Value':'-199951159','TargetCode':''}</v>
      </c>
    </row>
    <row r="413" spans="1:1">
      <c r="A413" t="str">
        <f>CONCATENATE("{'SheetId':'cc406fba-8c30-4081-be82-2550c22e6d74'",",","'UId':'fe23dd0b-5e6f-4dca-b641-6dbc8be7cfb1'",",'Col':",COLUMN(GTTSRong_06107!E9),",'Row':",ROW(GTTSRong_06107!E9),",","'Format':'numberic'",",'Value':'",SUBSTITUTE(GTTSRong_06107!E9,"'","\'"),"','TargetCode':''}")</f>
        <v>{'SheetId':'cc406fba-8c30-4081-be82-2550c22e6d74','UId':'fe23dd0b-5e6f-4dca-b641-6dbc8be7cfb1','Col':5,'Row':9,'Format':'numberic','Value':'110305485761','TargetCode':''}</v>
      </c>
    </row>
    <row r="414" spans="1:1">
      <c r="A414" t="str">
        <f>CONCATENATE("{'SheetId':'cc406fba-8c30-4081-be82-2550c22e6d74'",",","'UId':'e633aa90-04ec-40bb-a2c0-2cf37e64cee5'",",'Col':",COLUMN(GTTSRong_06107!F9),",'Row':",ROW(GTTSRong_06107!F9),",","'Format':'numberic'",",'Value':'",SUBSTITUTE(GTTSRong_06107!F9,"'","\'"),"','TargetCode':''}")</f>
        <v>{'SheetId':'cc406fba-8c30-4081-be82-2550c22e6d74','UId':'e633aa90-04ec-40bb-a2c0-2cf37e64cee5','Col':6,'Row':9,'Format':'numberic','Value':'106012733310','TargetCode':''}</v>
      </c>
    </row>
    <row r="415" spans="1:1">
      <c r="A415" t="str">
        <f>CONCATENATE("{'SheetId':'cc406fba-8c30-4081-be82-2550c22e6d74'",",","'UId':'9cc15fb3-0906-4ba0-9f14-04672940aac5'",",'Col':",COLUMN(GTTSRong_06107!E10),",'Row':",ROW(GTTSRong_06107!E10),",","'Format':'numberic'",",'Value':'",SUBSTITUTE(GTTSRong_06107!E10,"'","\'"),"','TargetCode':''}")</f>
        <v>{'SheetId':'cc406fba-8c30-4081-be82-2550c22e6d74','UId':'9cc15fb3-0906-4ba0-9f14-04672940aac5','Col':5,'Row':10,'Format':'numberic','Value':'11023.02','TargetCode':''}</v>
      </c>
    </row>
    <row r="416" spans="1:1">
      <c r="A416" t="str">
        <f>CONCATENATE("{'SheetId':'cc406fba-8c30-4081-be82-2550c22e6d74'",",","'UId':'029ac059-4bb8-4227-ab12-af2619fd35a1'",",'Col':",COLUMN(GTTSRong_06107!F10),",'Row':",ROW(GTTSRong_06107!F10),",","'Format':'numberic'",",'Value':'",SUBSTITUTE(GTTSRong_06107!F10,"'","\'"),"','TargetCode':''}")</f>
        <v>{'SheetId':'cc406fba-8c30-4081-be82-2550c22e6d74','UId':'029ac059-4bb8-4227-ab12-af2619fd35a1','Col':6,'Row':10,'Format':'numberic','Value':'10539.27','TargetCode':''}</v>
      </c>
    </row>
    <row r="417" spans="1:1">
      <c r="A417" t="str">
        <f>CONCATENATE("{'SheetId':'97f94cc4-2cf1-490f-9992-d56edff2a48b'",",","'UId':'9527d31a-2431-4b10-95c6-18ad2fc2d441'",",'Col':",COLUMN(BCDMDT_06108!D3),",'Row':",ROW(BCDMDT_06108!D3),",","'Format':'numberic'",",'Value':'",SUBSTITUTE(BCDMDT_06108!D3,"'","\'"),"','TargetCode':''}")</f>
        <v>{'SheetId':'97f94cc4-2cf1-490f-9992-d56edff2a48b','UId':'9527d31a-2431-4b10-95c6-18ad2fc2d441','Col':4,'Row':3,'Format':'numberic','Value':'','TargetCode':''}</v>
      </c>
    </row>
    <row r="418" spans="1:1">
      <c r="A418" t="str">
        <f>CONCATENATE("{'SheetId':'97f94cc4-2cf1-490f-9992-d56edff2a48b'",",","'UId':'8622dc28-55e7-4778-90a8-1294b8070fef'",",'Col':",COLUMN(BCDMDT_06108!E3),",'Row':",ROW(BCDMDT_06108!E3),",","'Format':'numberic'",",'Value':'",SUBSTITUTE(BCDMDT_06108!E3,"'","\'"),"','TargetCode':''}")</f>
        <v>{'SheetId':'97f94cc4-2cf1-490f-9992-d56edff2a48b','UId':'8622dc28-55e7-4778-90a8-1294b8070fef','Col':5,'Row':3,'Format':'numberic','Value':'','TargetCode':''}</v>
      </c>
    </row>
    <row r="419" spans="1:1">
      <c r="A419" t="str">
        <f>CONCATENATE("{'SheetId':'97f94cc4-2cf1-490f-9992-d56edff2a48b'",",","'UId':'600a43c2-8817-4fb1-b07d-1489b8175a7c'",",'Col':",COLUMN(BCDMDT_06108!F3),",'Row':",ROW(BCDMDT_06108!F3),",","'Format':'numberic'",",'Value':'",SUBSTITUTE(BCDMDT_06108!F3,"'","\'"),"','TargetCode':''}")</f>
        <v>{'SheetId':'97f94cc4-2cf1-490f-9992-d56edff2a48b','UId':'600a43c2-8817-4fb1-b07d-1489b8175a7c','Col':6,'Row':3,'Format':'numberic','Value':'','TargetCode':''}</v>
      </c>
    </row>
    <row r="420" spans="1:1">
      <c r="A420" t="str">
        <f>CONCATENATE("{'SheetId':'97f94cc4-2cf1-490f-9992-d56edff2a48b'",",","'UId':'46f5d149-8c4c-49b7-b1ef-761dea9cd15b'",",'Col':",COLUMN(BCDMDT_06108!G3),",'Row':",ROW(BCDMDT_06108!G3),",","'Format':'numberic'",",'Value':'",SUBSTITUTE(BCDMDT_06108!G3,"'","\'"),"','TargetCode':''}")</f>
        <v>{'SheetId':'97f94cc4-2cf1-490f-9992-d56edff2a48b','UId':'46f5d149-8c4c-49b7-b1ef-761dea9cd15b','Col':7,'Row':3,'Format':'numberic','Value':'','TargetCode':''}</v>
      </c>
    </row>
    <row r="421" spans="1:1">
      <c r="A421" t="str">
        <f>CONCATENATE("{'SheetId':'97f94cc4-2cf1-490f-9992-d56edff2a48b'",",","'UId':'ed3c5ca2-2902-4770-b52f-0df19c6164f5'",",'Col':",COLUMN(BCDMDT_06108!A5),",'Row':",ROW(BCDMDT_06108!A5),",","'ColDynamic':",COLUMN(BCDMDT_06108!A4),",","'RowDynamic':",ROW(BCDMDT_06108!A4),",","'Format':'numberic'",",'Value':'",SUBSTITUTE(BCDMDT_06108!A5,"'","\'"),"','TargetCode':''}")</f>
        <v>{'SheetId':'97f94cc4-2cf1-490f-9992-d56edff2a48b','UId':'ed3c5ca2-2902-4770-b52f-0df19c6164f5','Col':1,'Row':5,'ColDynamic':1,'RowDynamic':4,'Format':'numberic','Value':'II','TargetCode':''}</v>
      </c>
    </row>
    <row r="422" spans="1:1">
      <c r="A422" t="str">
        <f>CONCATENATE("{'SheetId':'97f94cc4-2cf1-490f-9992-d56edff2a48b'",",","'UId':'86c0546a-ca66-4b7c-ae89-4fc46b6ed456'",",'Col':",COLUMN(BCDMDT_06108!B5),",'Row':",ROW(BCDMDT_06108!B5),",","'ColDynamic':",COLUMN(BCDMDT_06108!B4),",","'RowDynamic':",ROW(BCDMDT_06108!B4),",","'Format':'string'",",'Value':'",SUBSTITUTE(BCDMDT_06108!B5,"'","\'"),"','TargetCode':''}")</f>
        <v>{'SheetId':'97f94cc4-2cf1-490f-9992-d56edff2a48b','UId':'86c0546a-ca66-4b7c-ae89-4fc46b6ed456','Col':2,'Row':5,'ColDynamic':2,'RowDynamic':4,'Format':'string','Value':'CỔ PHIẾU CHƯA NIÊM YẾT
UNLISTED SHARES','TargetCode':''}</v>
      </c>
    </row>
    <row r="423" spans="1:1">
      <c r="A423" t="str">
        <f>CONCATENATE("{'SheetId':'97f94cc4-2cf1-490f-9992-d56edff2a48b'",",","'UId':'5eecd5d1-f912-4152-84ab-e2bc7b20f384'",",'Col':",COLUMN(BCDMDT_06108!C5),",'Row':",ROW(BCDMDT_06108!C5),",","'ColDynamic':",COLUMN(BCDMDT_06108!C4),",","'RowDynamic':",ROW(BCDMDT_06108!C4),",","'Format':'numberic'",",'Value':'",SUBSTITUTE(BCDMDT_06108!C5,"'","\'"),"','TargetCode':''}")</f>
        <v>{'SheetId':'97f94cc4-2cf1-490f-9992-d56edff2a48b','UId':'5eecd5d1-f912-4152-84ab-e2bc7b20f384','Col':3,'Row':5,'ColDynamic':3,'RowDynamic':4,'Format':'numberic','Value':'4032','TargetCode':''}</v>
      </c>
    </row>
    <row r="424" spans="1:1">
      <c r="A424" t="str">
        <f>CONCATENATE("{'SheetId':'97f94cc4-2cf1-490f-9992-d56edff2a48b'",",","'UId':'26dc47da-cc71-48ec-a5eb-74f077c24238'",",'Col':",COLUMN(BCDMDT_06108!D5),",'Row':",ROW(BCDMDT_06108!D5),",","'ColDynamic':",COLUMN(BCDMDT_06108!D4),",","'RowDynamic':",ROW(BCDMDT_06108!D4),",","'Format':'numberic'",",'Value':'",SUBSTITUTE(BCDMDT_06108!D5,"'","\'"),"','TargetCode':''}")</f>
        <v>{'SheetId':'97f94cc4-2cf1-490f-9992-d56edff2a48b','UId':'26dc47da-cc71-48ec-a5eb-74f077c24238','Col':4,'Row':5,'ColDynamic':4,'RowDynamic':4,'Format':'numberic','Value':'','TargetCode':''}</v>
      </c>
    </row>
    <row r="425" spans="1:1">
      <c r="A425" t="str">
        <f>CONCATENATE("{'SheetId':'97f94cc4-2cf1-490f-9992-d56edff2a48b'",",","'UId':'87a7237e-6799-4cf5-83a6-85dafd4e1a4b'",",'Col':",COLUMN(BCDMDT_06108!E5),",'Row':",ROW(BCDMDT_06108!E5),",","'ColDynamic':",COLUMN(BCDMDT_06108!E4),",","'RowDynamic':",ROW(BCDMDT_06108!E4),",","'Format':'numberic'",",'Value':'",SUBSTITUTE(BCDMDT_06108!E5,"'","\'"),"','TargetCode':''}")</f>
        <v>{'SheetId':'97f94cc4-2cf1-490f-9992-d56edff2a48b','UId':'87a7237e-6799-4cf5-83a6-85dafd4e1a4b','Col':5,'Row':5,'ColDynamic':5,'RowDynamic':4,'Format':'numberic','Value':'','TargetCode':''}</v>
      </c>
    </row>
    <row r="426" spans="1:1">
      <c r="A426" t="str">
        <f>CONCATENATE("{'SheetId':'97f94cc4-2cf1-490f-9992-d56edff2a48b'",",","'UId':'ddd66022-7315-4273-856e-5a771d38cba0'",",'Col':",COLUMN(BCDMDT_06108!F5),",'Row':",ROW(BCDMDT_06108!F5),",","'ColDynamic':",COLUMN(BCDMDT_06108!F4),",","'RowDynamic':",ROW(BCDMDT_06108!F4),",","'Format':'numberic'",",'Value':'",SUBSTITUTE(BCDMDT_06108!F5,"'","\'"),"','TargetCode':''}")</f>
        <v>{'SheetId':'97f94cc4-2cf1-490f-9992-d56edff2a48b','UId':'ddd66022-7315-4273-856e-5a771d38cba0','Col':6,'Row':5,'ColDynamic':6,'RowDynamic':4,'Format':'numberic','Value':'','TargetCode':''}</v>
      </c>
    </row>
    <row r="427" spans="1:1">
      <c r="A427" t="str">
        <f>CONCATENATE("{'SheetId':'97f94cc4-2cf1-490f-9992-d56edff2a48b'",",","'UId':'97ee317b-4b7b-4686-89b0-a2bfc328450e'",",'Col':",COLUMN(BCDMDT_06108!G5),",'Row':",ROW(BCDMDT_06108!G5),",","'ColDynamic':",COLUMN(BCDMDT_06108!G4),",","'RowDynamic':",ROW(BCDMDT_06108!G4),",","'Format':'numberic'",",'Value':'",SUBSTITUTE(BCDMDT_06108!G5,"'","\'"),"','TargetCode':''}")</f>
        <v>{'SheetId':'97f94cc4-2cf1-490f-9992-d56edff2a48b','UId':'97ee317b-4b7b-4686-89b0-a2bfc328450e','Col':7,'Row':5,'ColDynamic':7,'RowDynamic':4,'Format':'numberic','Value':'','TargetCode':''}</v>
      </c>
    </row>
    <row r="428" spans="1:1">
      <c r="A428" t="str">
        <f>CONCATENATE("{'SheetId':'97f94cc4-2cf1-490f-9992-d56edff2a48b'",",","'UId':'f1c9162d-ea12-4c03-8cdb-a1904c0cc1ab'",",'Col':",COLUMN(BCDMDT_06108!D6),",'Row':",ROW(BCDMDT_06108!D6),",","'Format':'numberic'",",'Value':'",SUBSTITUTE(BCDMDT_06108!D6,"'","\'"),"','TargetCode':''}")</f>
        <v>{'SheetId':'97f94cc4-2cf1-490f-9992-d56edff2a48b','UId':'f1c9162d-ea12-4c03-8cdb-a1904c0cc1ab','Col':4,'Row':6,'Format':'numberic','Value':'0','TargetCode':''}</v>
      </c>
    </row>
    <row r="429" spans="1:1">
      <c r="A429" t="str">
        <f>CONCATENATE("{'SheetId':'97f94cc4-2cf1-490f-9992-d56edff2a48b'",",","'UId':'937ec53f-6e47-476a-a546-e12495e2969d'",",'Col':",COLUMN(BCDMDT_06108!E6),",'Row':",ROW(BCDMDT_06108!E6),",","'Format':'numberic'",",'Value':'",SUBSTITUTE(BCDMDT_06108!E6,"'","\'"),"','TargetCode':''}")</f>
        <v>{'SheetId':'97f94cc4-2cf1-490f-9992-d56edff2a48b','UId':'937ec53f-6e47-476a-a546-e12495e2969d','Col':5,'Row':6,'Format':'numberic','Value':'','TargetCode':''}</v>
      </c>
    </row>
    <row r="430" spans="1:1">
      <c r="A430" t="str">
        <f>CONCATENATE("{'SheetId':'97f94cc4-2cf1-490f-9992-d56edff2a48b'",",","'UId':'6e88e443-12ff-44d1-af93-fca2df696276'",",'Col':",COLUMN(BCDMDT_06108!F6),",'Row':",ROW(BCDMDT_06108!F6),",","'Format':'numberic'",",'Value':'",SUBSTITUTE(BCDMDT_06108!F6,"'","\'"),"','TargetCode':''}")</f>
        <v>{'SheetId':'97f94cc4-2cf1-490f-9992-d56edff2a48b','UId':'6e88e443-12ff-44d1-af93-fca2df696276','Col':6,'Row':6,'Format':'numberic','Value':'0','TargetCode':''}</v>
      </c>
    </row>
    <row r="431" spans="1:1">
      <c r="A431" t="str">
        <f>CONCATENATE("{'SheetId':'97f94cc4-2cf1-490f-9992-d56edff2a48b'",",","'UId':'ba0e82ea-c21c-4675-b750-90dfa12e0042'",",'Col':",COLUMN(BCDMDT_06108!G6),",'Row':",ROW(BCDMDT_06108!G6),",","'Format':'numberic'",",'Value':'",SUBSTITUTE(BCDMDT_06108!G6,"'","\'"),"','TargetCode':''}")</f>
        <v>{'SheetId':'97f94cc4-2cf1-490f-9992-d56edff2a48b','UId':'ba0e82ea-c21c-4675-b750-90dfa12e0042','Col':7,'Row':6,'Format':'numberic','Value':'0','TargetCode':''}</v>
      </c>
    </row>
    <row r="432" spans="1:1">
      <c r="A432" t="str">
        <f>CONCATENATE("{'SheetId':'97f94cc4-2cf1-490f-9992-d56edff2a48b'",",","'UId':'6f0f16af-6a9f-4072-9190-52f2b48c44a4'",",'Col':",COLUMN(BCDMDT_06108!A8),",'Row':",ROW(BCDMDT_06108!A8),",","'ColDynamic':",COLUMN(BCDMDT_06108!A9),",","'RowDynamic':",ROW(BCDMDT_06108!A9),",","'Format':'numberic'",",'Value':'",SUBSTITUTE(BCDMDT_06108!A8,"'","\'"),"','TargetCode':''}")</f>
        <v>{'SheetId':'97f94cc4-2cf1-490f-9992-d56edff2a48b','UId':'6f0f16af-6a9f-4072-9190-52f2b48c44a4','Col':1,'Row':8,'ColDynamic':1,'RowDynamic':9,'Format':'numberic','Value':'III','TargetCode':''}</v>
      </c>
    </row>
    <row r="433" spans="1:1">
      <c r="A433" t="str">
        <f>CONCATENATE("{'SheetId':'97f94cc4-2cf1-490f-9992-d56edff2a48b'",",","'UId':'8d2401e5-0267-4970-91aa-7be41c9e91ef'",",'Col':",COLUMN(BCDMDT_06108!B8),",'Row':",ROW(BCDMDT_06108!B8),",","'ColDynamic':",COLUMN(BCDMDT_06108!B9),",","'RowDynamic':",ROW(BCDMDT_06108!B9),",","'Format':'string'",",'Value':'",SUBSTITUTE(BCDMDT_06108!B8,"'","\'"),"','TargetCode':''}")</f>
        <v>{'SheetId':'97f94cc4-2cf1-490f-9992-d56edff2a48b','UId':'8d2401e5-0267-4970-91aa-7be41c9e91ef','Col':2,'Row':8,'ColDynamic':2,'RowDynamic':9,'Format':'string','Value':'TRÁI PHIẾU
BONDS','TargetCode':''}</v>
      </c>
    </row>
    <row r="434" spans="1:1">
      <c r="A434" t="str">
        <f>CONCATENATE("{'SheetId':'97f94cc4-2cf1-490f-9992-d56edff2a48b'",",","'UId':'b8e4978f-6cd8-4c01-a5ed-cf4407e5dcf3'",",'Col':",COLUMN(BCDMDT_06108!C8),",'Row':",ROW(BCDMDT_06108!C8),",","'ColDynamic':",COLUMN(BCDMDT_06108!C9),",","'RowDynamic':",ROW(BCDMDT_06108!C9),",","'Format':'numberic'",",'Value':'",SUBSTITUTE(BCDMDT_06108!C8,"'","\'"),"','TargetCode':''}")</f>
        <v>{'SheetId':'97f94cc4-2cf1-490f-9992-d56edff2a48b','UId':'b8e4978f-6cd8-4c01-a5ed-cf4407e5dcf3','Col':3,'Row':8,'ColDynamic':3,'RowDynamic':9,'Format':'numberic','Value':'4035','TargetCode':''}</v>
      </c>
    </row>
    <row r="435" spans="1:1">
      <c r="A435" t="str">
        <f>CONCATENATE("{'SheetId':'97f94cc4-2cf1-490f-9992-d56edff2a48b'",",","'UId':'0dda764f-f1ad-46a4-8c30-01732ca173c1'",",'Col':",COLUMN(BCDMDT_06108!D8),",'Row':",ROW(BCDMDT_06108!D8),",","'ColDynamic':",COLUMN(BCDMDT_06108!D9),",","'RowDynamic':",ROW(BCDMDT_06108!D9),",","'Format':'numberic'",",'Value':'",SUBSTITUTE(BCDMDT_06108!D8,"'","\'"),"','TargetCode':''}")</f>
        <v>{'SheetId':'97f94cc4-2cf1-490f-9992-d56edff2a48b','UId':'0dda764f-f1ad-46a4-8c30-01732ca173c1','Col':4,'Row':8,'ColDynamic':4,'RowDynamic':9,'Format':'numberic','Value':'','TargetCode':''}</v>
      </c>
    </row>
    <row r="436" spans="1:1">
      <c r="A436" t="str">
        <f>CONCATENATE("{'SheetId':'97f94cc4-2cf1-490f-9992-d56edff2a48b'",",","'UId':'2763dd7a-870e-495d-9601-ec3bc219a616'",",'Col':",COLUMN(BCDMDT_06108!E8),",'Row':",ROW(BCDMDT_06108!E8),",","'ColDynamic':",COLUMN(BCDMDT_06108!E9),",","'RowDynamic':",ROW(BCDMDT_06108!E9),",","'Format':'numberic'",",'Value':'",SUBSTITUTE(BCDMDT_06108!E8,"'","\'"),"','TargetCode':''}")</f>
        <v>{'SheetId':'97f94cc4-2cf1-490f-9992-d56edff2a48b','UId':'2763dd7a-870e-495d-9601-ec3bc219a616','Col':5,'Row':8,'ColDynamic':5,'RowDynamic':9,'Format':'numberic','Value':'','TargetCode':''}</v>
      </c>
    </row>
    <row r="437" spans="1:1">
      <c r="A437" t="str">
        <f>CONCATENATE("{'SheetId':'97f94cc4-2cf1-490f-9992-d56edff2a48b'",",","'UId':'d1384bac-e447-42c3-93f9-b74908915257'",",'Col':",COLUMN(BCDMDT_06108!F8),",'Row':",ROW(BCDMDT_06108!F8),",","'ColDynamic':",COLUMN(BCDMDT_06108!F9),",","'RowDynamic':",ROW(BCDMDT_06108!F9),",","'Format':'numberic'",",'Value':'",SUBSTITUTE(BCDMDT_06108!F8,"'","\'"),"','TargetCode':''}")</f>
        <v>{'SheetId':'97f94cc4-2cf1-490f-9992-d56edff2a48b','UId':'d1384bac-e447-42c3-93f9-b74908915257','Col':6,'Row':8,'ColDynamic':6,'RowDynamic':9,'Format':'numberic','Value':'','TargetCode':''}</v>
      </c>
    </row>
    <row r="438" spans="1:1">
      <c r="A438" t="str">
        <f>CONCATENATE("{'SheetId':'97f94cc4-2cf1-490f-9992-d56edff2a48b'",",","'UId':'256a504f-c672-41bb-b3d0-566e13d01a9a'",",'Col':",COLUMN(BCDMDT_06108!G8),",'Row':",ROW(BCDMDT_06108!G8),",","'ColDynamic':",COLUMN(BCDMDT_06108!G9),",","'RowDynamic':",ROW(BCDMDT_06108!G9),",","'Format':'numberic'",",'Value':'",SUBSTITUTE(BCDMDT_06108!G8,"'","\'"),"','TargetCode':''}")</f>
        <v>{'SheetId':'97f94cc4-2cf1-490f-9992-d56edff2a48b','UId':'256a504f-c672-41bb-b3d0-566e13d01a9a','Col':7,'Row':8,'ColDynamic':7,'RowDynamic':9,'Format':'numberic','Value':'','TargetCode':''}</v>
      </c>
    </row>
    <row r="439" spans="1:1">
      <c r="A439" t="str">
        <f>CONCATENATE("{'SheetId':'97f94cc4-2cf1-490f-9992-d56edff2a48b'",",","'UId':'b0313ec1-6a00-4332-83ea-77c4f924e325'",",'Col':",COLUMN(BCDMDT_06108!D9),",'Row':",ROW(BCDMDT_06108!D9),",","'Format':'numberic'",",'Value':'",SUBSTITUTE(BCDMDT_06108!D9,"'","\'"),"','TargetCode':''}")</f>
        <v>{'SheetId':'97f94cc4-2cf1-490f-9992-d56edff2a48b','UId':'b0313ec1-6a00-4332-83ea-77c4f924e325','Col':4,'Row':9,'Format':'numberic','Value':'0','TargetCode':''}</v>
      </c>
    </row>
    <row r="440" spans="1:1">
      <c r="A440" t="str">
        <f>CONCATENATE("{'SheetId':'97f94cc4-2cf1-490f-9992-d56edff2a48b'",",","'UId':'dd32e6e3-9de7-40ba-9fa8-5534f3b3b5d8'",",'Col':",COLUMN(BCDMDT_06108!E9),",'Row':",ROW(BCDMDT_06108!E9),",","'Format':'numberic'",",'Value':'",SUBSTITUTE(BCDMDT_06108!E9,"'","\'"),"','TargetCode':''}")</f>
        <v>{'SheetId':'97f94cc4-2cf1-490f-9992-d56edff2a48b','UId':'dd32e6e3-9de7-40ba-9fa8-5534f3b3b5d8','Col':5,'Row':9,'Format':'numberic','Value':'','TargetCode':''}</v>
      </c>
    </row>
    <row r="441" spans="1:1">
      <c r="A441" t="str">
        <f>CONCATENATE("{'SheetId':'97f94cc4-2cf1-490f-9992-d56edff2a48b'",",","'UId':'d5f92ba1-e31f-4cfd-9d96-a65e2000f574'",",'Col':",COLUMN(BCDMDT_06108!F9),",'Row':",ROW(BCDMDT_06108!F9),",","'Format':'numberic'",",'Value':'",SUBSTITUTE(BCDMDT_06108!F9,"'","\'"),"','TargetCode':''}")</f>
        <v>{'SheetId':'97f94cc4-2cf1-490f-9992-d56edff2a48b','UId':'d5f92ba1-e31f-4cfd-9d96-a65e2000f574','Col':6,'Row':9,'Format':'numberic','Value':'0','TargetCode':''}</v>
      </c>
    </row>
    <row r="442" spans="1:1">
      <c r="A442" t="str">
        <f>CONCATENATE("{'SheetId':'97f94cc4-2cf1-490f-9992-d56edff2a48b'",",","'UId':'f42fa02e-d017-4e5f-aa7e-c3072d992421'",",'Col':",COLUMN(BCDMDT_06108!G9),",'Row':",ROW(BCDMDT_06108!G9),",","'Format':'numberic'",",'Value':'",SUBSTITUTE(BCDMDT_06108!G9,"'","\'"),"','TargetCode':''}")</f>
        <v>{'SheetId':'97f94cc4-2cf1-490f-9992-d56edff2a48b','UId':'f42fa02e-d017-4e5f-aa7e-c3072d992421','Col':7,'Row':9,'Format':'numberic','Value':'0','TargetCode':''}</v>
      </c>
    </row>
    <row r="443" spans="1:1">
      <c r="A443" t="str">
        <f>CONCATENATE("{'SheetId':'97f94cc4-2cf1-490f-9992-d56edff2a48b'",",","'UId':'56e8a951-a001-4f6e-9993-2c4252f4d2e2'",",'Col':",COLUMN(BCDMDT_06108!D10),",'Row':",ROW(BCDMDT_06108!D10),",","'Format':'numberic'",",'Value':'",SUBSTITUTE(BCDMDT_06108!D10,"'","\'"),"','TargetCode':''}")</f>
        <v>{'SheetId':'97f94cc4-2cf1-490f-9992-d56edff2a48b','UId':'56e8a951-a001-4f6e-9993-2c4252f4d2e2','Col':4,'Row':10,'Format':'numberic','Value':'0','TargetCode':''}</v>
      </c>
    </row>
    <row r="444" spans="1:1">
      <c r="A444" t="str">
        <f>CONCATENATE("{'SheetId':'97f94cc4-2cf1-490f-9992-d56edff2a48b'",",","'UId':'caf91613-db72-46a8-9128-b8af4d1e0e7d'",",'Col':",COLUMN(BCDMDT_06108!E10),",'Row':",ROW(BCDMDT_06108!E10),",","'Format':'numberic'",",'Value':'",SUBSTITUTE(BCDMDT_06108!E10,"'","\'"),"','TargetCode':''}")</f>
        <v>{'SheetId':'97f94cc4-2cf1-490f-9992-d56edff2a48b','UId':'caf91613-db72-46a8-9128-b8af4d1e0e7d','Col':5,'Row':10,'Format':'numberic','Value':'','TargetCode':''}</v>
      </c>
    </row>
    <row r="445" spans="1:1">
      <c r="A445" t="str">
        <f>CONCATENATE("{'SheetId':'97f94cc4-2cf1-490f-9992-d56edff2a48b'",",","'UId':'0b83e7d7-655b-4a13-acea-76e879ab7a23'",",'Col':",COLUMN(BCDMDT_06108!F10),",'Row':",ROW(BCDMDT_06108!F10),",","'Format':'numberic'",",'Value':'",SUBSTITUTE(BCDMDT_06108!F10,"'","\'"),"','TargetCode':''}")</f>
        <v>{'SheetId':'97f94cc4-2cf1-490f-9992-d56edff2a48b','UId':'0b83e7d7-655b-4a13-acea-76e879ab7a23','Col':6,'Row':10,'Format':'numberic','Value':'0','TargetCode':''}</v>
      </c>
    </row>
    <row r="446" spans="1:1">
      <c r="A446" t="str">
        <f>CONCATENATE("{'SheetId':'97f94cc4-2cf1-490f-9992-d56edff2a48b'",",","'UId':'f23eb8c1-f1fb-4139-99e4-e67e010f30dd'",",'Col':",COLUMN(BCDMDT_06108!G10),",'Row':",ROW(BCDMDT_06108!G10),",","'Format':'numberic'",",'Value':'",SUBSTITUTE(BCDMDT_06108!G10,"'","\'"),"','TargetCode':''}")</f>
        <v>{'SheetId':'97f94cc4-2cf1-490f-9992-d56edff2a48b','UId':'f23eb8c1-f1fb-4139-99e4-e67e010f30dd','Col':7,'Row':10,'Format':'numberic','Value':'0','TargetCode':''}</v>
      </c>
    </row>
    <row r="447" spans="1:1">
      <c r="A447" t="str">
        <f>CONCATENATE("{'SheetId':'97f94cc4-2cf1-490f-9992-d56edff2a48b'",",","'UId':'98916b91-cad4-49ea-a5c6-dffd2496439d'",",'Col':",COLUMN(BCDMDT_06108!A12),",'Row':",ROW(BCDMDT_06108!A12),",","'ColDynamic':",COLUMN(BCDMDT_06108!A15),",","'RowDynamic':",ROW(BCDMDT_06108!A15),",","'Format':'numberic'",",'Value':'",SUBSTITUTE(BCDMDT_06108!A12,"'","\'"),"','TargetCode':''}")</f>
        <v>{'SheetId':'97f94cc4-2cf1-490f-9992-d56edff2a48b','UId':'98916b91-cad4-49ea-a5c6-dffd2496439d','Col':1,'Row':12,'ColDynamic':1,'RowDynamic':15,'Format':'numberic','Value':'IV','TargetCode':''}</v>
      </c>
    </row>
    <row r="448" spans="1:1">
      <c r="A448" t="str">
        <f>CONCATENATE("{'SheetId':'97f94cc4-2cf1-490f-9992-d56edff2a48b'",",","'UId':'2601aee2-652c-4602-a819-18856351b861'",",'Col':",COLUMN(BCDMDT_06108!B12),",'Row':",ROW(BCDMDT_06108!B12),",","'ColDynamic':",COLUMN(BCDMDT_06108!B15),",","'RowDynamic':",ROW(BCDMDT_06108!B15),",","'Format':'string'",",'Value':'",SUBSTITUTE(BCDMDT_06108!B12,"'","\'"),"','TargetCode':''}")</f>
        <v>{'SheetId':'97f94cc4-2cf1-490f-9992-d56edff2a48b','UId':'2601aee2-652c-4602-a819-18856351b861','Col':2,'Row':12,'ColDynamic':2,'RowDynamic':15,'Format':'string','Value':'CÁC LOẠI CHỨNG KHOÁN KHÁC
OTHER SECURITIES','TargetCode':''}</v>
      </c>
    </row>
    <row r="449" spans="1:1">
      <c r="A449" t="str">
        <f>CONCATENATE("{'SheetId':'97f94cc4-2cf1-490f-9992-d56edff2a48b'",",","'UId':'448a054b-569f-47a0-95c9-cba75adc8e3a'",",'Col':",COLUMN(BCDMDT_06108!C12),",'Row':",ROW(BCDMDT_06108!C12),",","'ColDynamic':",COLUMN(BCDMDT_06108!C15),",","'RowDynamic':",ROW(BCDMDT_06108!C15),",","'Format':'numberic'",",'Value':'",SUBSTITUTE(BCDMDT_06108!C12,"'","\'"),"','TargetCode':''}")</f>
        <v>{'SheetId':'97f94cc4-2cf1-490f-9992-d56edff2a48b','UId':'448a054b-569f-47a0-95c9-cba75adc8e3a','Col':3,'Row':12,'ColDynamic':3,'RowDynamic':15,'Format':'numberic','Value':'4037','TargetCode':''}</v>
      </c>
    </row>
    <row r="450" spans="1:1">
      <c r="A450" t="str">
        <f>CONCATENATE("{'SheetId':'97f94cc4-2cf1-490f-9992-d56edff2a48b'",",","'UId':'6e32f555-4d9d-4478-8435-91fa6da02b7a'",",'Col':",COLUMN(BCDMDT_06108!D12),",'Row':",ROW(BCDMDT_06108!D12),",","'ColDynamic':",COLUMN(BCDMDT_06108!D15),",","'RowDynamic':",ROW(BCDMDT_06108!D15),",","'Format':'numberic'",",'Value':'",SUBSTITUTE(BCDMDT_06108!D12,"'","\'"),"','TargetCode':''}")</f>
        <v>{'SheetId':'97f94cc4-2cf1-490f-9992-d56edff2a48b','UId':'6e32f555-4d9d-4478-8435-91fa6da02b7a','Col':4,'Row':12,'ColDynamic':4,'RowDynamic':15,'Format':'numberic','Value':'','TargetCode':''}</v>
      </c>
    </row>
    <row r="451" spans="1:1">
      <c r="A451" t="str">
        <f>CONCATENATE("{'SheetId':'97f94cc4-2cf1-490f-9992-d56edff2a48b'",",","'UId':'7e5294e3-e510-4dbd-b99c-186b133f858c'",",'Col':",COLUMN(BCDMDT_06108!E12),",'Row':",ROW(BCDMDT_06108!E12),",","'ColDynamic':",COLUMN(BCDMDT_06108!E15),",","'RowDynamic':",ROW(BCDMDT_06108!E15),",","'Format':'numberic'",",'Value':'",SUBSTITUTE(BCDMDT_06108!E12,"'","\'"),"','TargetCode':''}")</f>
        <v>{'SheetId':'97f94cc4-2cf1-490f-9992-d56edff2a48b','UId':'7e5294e3-e510-4dbd-b99c-186b133f858c','Col':5,'Row':12,'ColDynamic':5,'RowDynamic':15,'Format':'numberic','Value':'','TargetCode':''}</v>
      </c>
    </row>
    <row r="452" spans="1:1">
      <c r="A452" t="str">
        <f>CONCATENATE("{'SheetId':'97f94cc4-2cf1-490f-9992-d56edff2a48b'",",","'UId':'16c5fdac-0b8d-41ce-8bd9-63faa1b0b0a1'",",'Col':",COLUMN(BCDMDT_06108!F12),",'Row':",ROW(BCDMDT_06108!F12),",","'ColDynamic':",COLUMN(BCDMDT_06108!F15),",","'RowDynamic':",ROW(BCDMDT_06108!F15),",","'Format':'numberic'",",'Value':'",SUBSTITUTE(BCDMDT_06108!F12,"'","\'"),"','TargetCode':''}")</f>
        <v>{'SheetId':'97f94cc4-2cf1-490f-9992-d56edff2a48b','UId':'16c5fdac-0b8d-41ce-8bd9-63faa1b0b0a1','Col':6,'Row':12,'ColDynamic':6,'RowDynamic':15,'Format':'numberic','Value':'','TargetCode':''}</v>
      </c>
    </row>
    <row r="453" spans="1:1">
      <c r="A453" t="str">
        <f>CONCATENATE("{'SheetId':'97f94cc4-2cf1-490f-9992-d56edff2a48b'",",","'UId':'4c4631a3-d52f-4b67-89fe-8fd34f865f10'",",'Col':",COLUMN(BCDMDT_06108!G12),",'Row':",ROW(BCDMDT_06108!G12),",","'ColDynamic':",COLUMN(BCDMDT_06108!G15),",","'RowDynamic':",ROW(BCDMDT_06108!G15),",","'Format':'numberic'",",'Value':'",SUBSTITUTE(BCDMDT_06108!G12,"'","\'"),"','TargetCode':''}")</f>
        <v>{'SheetId':'97f94cc4-2cf1-490f-9992-d56edff2a48b','UId':'4c4631a3-d52f-4b67-89fe-8fd34f865f10','Col':7,'Row':12,'ColDynamic':7,'RowDynamic':15,'Format':'numberic','Value':'','TargetCode':''}</v>
      </c>
    </row>
    <row r="454" spans="1:1">
      <c r="A454" t="str">
        <f>CONCATENATE("{'SheetId':'97f94cc4-2cf1-490f-9992-d56edff2a48b'",",","'UId':'fe67c014-6a68-49e7-9bc2-ad619a2512b2'",",'Col':",COLUMN(BCDMDT_06108!D13),",'Row':",ROW(BCDMDT_06108!D13),",","'Format':'numberic'",",'Value':'",SUBSTITUTE(BCDMDT_06108!D13,"'","\'"),"','TargetCode':''}")</f>
        <v>{'SheetId':'97f94cc4-2cf1-490f-9992-d56edff2a48b','UId':'fe67c014-6a68-49e7-9bc2-ad619a2512b2','Col':4,'Row':13,'Format':'numberic','Value':'0','TargetCode':''}</v>
      </c>
    </row>
    <row r="455" spans="1:1">
      <c r="A455" t="str">
        <f>CONCATENATE("{'SheetId':'97f94cc4-2cf1-490f-9992-d56edff2a48b'",",","'UId':'35839fdc-92db-44ce-a88e-f93bf7b78b89'",",'Col':",COLUMN(BCDMDT_06108!E13),",'Row':",ROW(BCDMDT_06108!E13),",","'Format':'numberic'",",'Value':'",SUBSTITUTE(BCDMDT_06108!E13,"'","\'"),"','TargetCode':''}")</f>
        <v>{'SheetId':'97f94cc4-2cf1-490f-9992-d56edff2a48b','UId':'35839fdc-92db-44ce-a88e-f93bf7b78b89','Col':5,'Row':13,'Format':'numberic','Value':'','TargetCode':''}</v>
      </c>
    </row>
    <row r="456" spans="1:1">
      <c r="A456" t="str">
        <f>CONCATENATE("{'SheetId':'97f94cc4-2cf1-490f-9992-d56edff2a48b'",",","'UId':'766a3264-c157-4cfd-ad37-cb09d7a737a8'",",'Col':",COLUMN(BCDMDT_06108!F13),",'Row':",ROW(BCDMDT_06108!F13),",","'Format':'numberic'",",'Value':'",SUBSTITUTE(BCDMDT_06108!F13,"'","\'"),"','TargetCode':''}")</f>
        <v>{'SheetId':'97f94cc4-2cf1-490f-9992-d56edff2a48b','UId':'766a3264-c157-4cfd-ad37-cb09d7a737a8','Col':6,'Row':13,'Format':'numberic','Value':'0','TargetCode':''}</v>
      </c>
    </row>
    <row r="457" spans="1:1">
      <c r="A457" t="str">
        <f>CONCATENATE("{'SheetId':'97f94cc4-2cf1-490f-9992-d56edff2a48b'",",","'UId':'e92f8db3-5c60-4a5c-b6bb-4e7f8aeebb88'",",'Col':",COLUMN(BCDMDT_06108!G13),",'Row':",ROW(BCDMDT_06108!G13),",","'Format':'numberic'",",'Value':'",SUBSTITUTE(BCDMDT_06108!G13,"'","\'"),"','TargetCode':''}")</f>
        <v>{'SheetId':'97f94cc4-2cf1-490f-9992-d56edff2a48b','UId':'e92f8db3-5c60-4a5c-b6bb-4e7f8aeebb88','Col':7,'Row':13,'Format':'numberic','Value':'0','TargetCode':''}</v>
      </c>
    </row>
    <row r="458" spans="1:1">
      <c r="A458" t="str">
        <f>CONCATENATE("{'SheetId':'97f94cc4-2cf1-490f-9992-d56edff2a48b'",",","'UId':'9a857fcc-2c15-498c-9f60-00335fc70c21'",",'Col':",COLUMN(BCDMDT_06108!A15),",'Row':",ROW(BCDMDT_06108!A15),",","'ColDynamic':",COLUMN(BCDMDT_06108!A27),",","'RowDynamic':",ROW(BCDMDT_06108!A27),",","'Format':'numberic'",",'Value':'",SUBSTITUTE(BCDMDT_06108!A15,"'","\'"),"','TargetCode':''}")</f>
        <v>{'SheetId':'97f94cc4-2cf1-490f-9992-d56edff2a48b','UId':'9a857fcc-2c15-498c-9f60-00335fc70c21','Col':1,'Row':15,'ColDynamic':1,'RowDynamic':27,'Format':'numberic','Value':'','TargetCode':''}</v>
      </c>
    </row>
    <row r="459" spans="1:1">
      <c r="A459" t="str">
        <f>CONCATENATE("{'SheetId':'97f94cc4-2cf1-490f-9992-d56edff2a48b'",",","'UId':'3e979013-edcd-4223-b605-0a63abd8da8d'",",'Col':",COLUMN(BCDMDT_06108!B15),",'Row':",ROW(BCDMDT_06108!B15),",","'ColDynamic':",COLUMN(BCDMDT_06108!B27),",","'RowDynamic':",ROW(BCDMDT_06108!B27),",","'Format':'string'",",'Value':'",SUBSTITUTE(BCDMDT_06108!B15,"'","\'"),"','TargetCode':''}")</f>
        <v>{'SheetId':'97f94cc4-2cf1-490f-9992-d56edff2a48b','UId':'3e979013-edcd-4223-b605-0a63abd8da8d','Col':2,'Row':15,'ColDynamic':2,'RowDynamic':27,'Format':'string','Value':'TỔNG
	TOTAL','TargetCode':''}</v>
      </c>
    </row>
    <row r="460" spans="1:1">
      <c r="A460" t="str">
        <f>CONCATENATE("{'SheetId':'97f94cc4-2cf1-490f-9992-d56edff2a48b'",",","'UId':'3cc4bc7d-e76f-401c-a82d-9f950536450b'",",'Col':",COLUMN(BCDMDT_06108!C15),",'Row':",ROW(BCDMDT_06108!C15),",","'ColDynamic':",COLUMN(BCDMDT_06108!C27),",","'RowDynamic':",ROW(BCDMDT_06108!C27),",","'Format':'numberic'",",'Value':'",SUBSTITUTE(BCDMDT_06108!C15,"'","\'"),"','TargetCode':''}")</f>
        <v>{'SheetId':'97f94cc4-2cf1-490f-9992-d56edff2a48b','UId':'3cc4bc7d-e76f-401c-a82d-9f950536450b','Col':3,'Row':15,'ColDynamic':3,'RowDynamic':27,'Format':'numberic','Value':'4038','TargetCode':''}</v>
      </c>
    </row>
    <row r="461" spans="1:1">
      <c r="A461" t="str">
        <f>CONCATENATE("{'SheetId':'97f94cc4-2cf1-490f-9992-d56edff2a48b'",",","'UId':'f5c6296c-ddf6-4535-93ff-f51ac34cec79'",",'Col':",COLUMN(BCDMDT_06108!D15),",'Row':",ROW(BCDMDT_06108!D15),",","'ColDynamic':",COLUMN(BCDMDT_06108!D27),",","'RowDynamic':",ROW(BCDMDT_06108!D27),",","'Format':'numberic'",",'Value':'",SUBSTITUTE(BCDMDT_06108!D15,"'","\'"),"','TargetCode':''}")</f>
        <v>{'SheetId':'97f94cc4-2cf1-490f-9992-d56edff2a48b','UId':'f5c6296c-ddf6-4535-93ff-f51ac34cec79','Col':4,'Row':15,'ColDynamic':4,'RowDynamic':27,'Format':'numberic','Value':'','TargetCode':''}</v>
      </c>
    </row>
    <row r="462" spans="1:1">
      <c r="A462" t="str">
        <f>CONCATENATE("{'SheetId':'97f94cc4-2cf1-490f-9992-d56edff2a48b'",",","'UId':'2083bb19-14da-4045-bf10-7a3205a3cc3f'",",'Col':",COLUMN(BCDMDT_06108!E15),",'Row':",ROW(BCDMDT_06108!E15),",","'ColDynamic':",COLUMN(BCDMDT_06108!E27),",","'RowDynamic':",ROW(BCDMDT_06108!E27),",","'Format':'numberic'",",'Value':'",SUBSTITUTE(BCDMDT_06108!E15,"'","\'"),"','TargetCode':''}")</f>
        <v>{'SheetId':'97f94cc4-2cf1-490f-9992-d56edff2a48b','UId':'2083bb19-14da-4045-bf10-7a3205a3cc3f','Col':5,'Row':15,'ColDynamic':5,'RowDynamic':27,'Format':'numberic','Value':'','TargetCode':''}</v>
      </c>
    </row>
    <row r="463" spans="1:1">
      <c r="A463" t="str">
        <f>CONCATENATE("{'SheetId':'97f94cc4-2cf1-490f-9992-d56edff2a48b'",",","'UId':'430436ad-39f2-4a0f-b8fe-913b47379af6'",",'Col':",COLUMN(BCDMDT_06108!F15),",'Row':",ROW(BCDMDT_06108!F15),",","'ColDynamic':",COLUMN(BCDMDT_06108!F27),",","'RowDynamic':",ROW(BCDMDT_06108!F27),",","'Format':'numberic'",",'Value':'",SUBSTITUTE(BCDMDT_06108!F15,"'","\'"),"','TargetCode':''}")</f>
        <v>{'SheetId':'97f94cc4-2cf1-490f-9992-d56edff2a48b','UId':'430436ad-39f2-4a0f-b8fe-913b47379af6','Col':6,'Row':15,'ColDynamic':6,'RowDynamic':27,'Format':'numberic','Value':'0','TargetCode':''}</v>
      </c>
    </row>
    <row r="464" spans="1:1">
      <c r="A464" t="str">
        <f>CONCATENATE("{'SheetId':'97f94cc4-2cf1-490f-9992-d56edff2a48b'",",","'UId':'a4e575f3-6b63-4a68-b885-9356cd70acc6'",",'Col':",COLUMN(BCDMDT_06108!G15),",'Row':",ROW(BCDMDT_06108!G15),",","'ColDynamic':",COLUMN(BCDMDT_06108!G27),",","'RowDynamic':",ROW(BCDMDT_06108!G27),",","'Format':'numberic'",",'Value':'",SUBSTITUTE(BCDMDT_06108!G15,"'","\'"),"','TargetCode':''}")</f>
        <v>{'SheetId':'97f94cc4-2cf1-490f-9992-d56edff2a48b','UId':'a4e575f3-6b63-4a68-b885-9356cd70acc6','Col':7,'Row':15,'ColDynamic':7,'RowDynamic':27,'Format':'numberic','Value':'0','TargetCode':''}</v>
      </c>
    </row>
    <row r="465" spans="1:1">
      <c r="A465" t="str">
        <f>CONCATENATE("{'SheetId':'97f94cc4-2cf1-490f-9992-d56edff2a48b'",",","'UId':'4f6c609c-6a5a-4572-8d05-c2597824ff25'",",'Col':",COLUMN(BCDMDT_06108!D16),",'Row':",ROW(BCDMDT_06108!D16),",","'Format':'numberic'",",'Value':'",SUBSTITUTE(BCDMDT_06108!D16,"'","\'"),"','TargetCode':''}")</f>
        <v>{'SheetId':'97f94cc4-2cf1-490f-9992-d56edff2a48b','UId':'4f6c609c-6a5a-4572-8d05-c2597824ff25','Col':4,'Row':16,'Format':'numberic','Value':'','TargetCode':''}</v>
      </c>
    </row>
    <row r="466" spans="1:1">
      <c r="A466" t="str">
        <f>CONCATENATE("{'SheetId':'97f94cc4-2cf1-490f-9992-d56edff2a48b'",",","'UId':'199df9f5-775e-494f-98ce-ab1a9dec16cd'",",'Col':",COLUMN(BCDMDT_06108!E16),",'Row':",ROW(BCDMDT_06108!E16),",","'Format':'numberic'",",'Value':'",SUBSTITUTE(BCDMDT_06108!E16,"'","\'"),"','TargetCode':''}")</f>
        <v>{'SheetId':'97f94cc4-2cf1-490f-9992-d56edff2a48b','UId':'199df9f5-775e-494f-98ce-ab1a9dec16cd','Col':5,'Row':16,'Format':'numberic','Value':'','TargetCode':''}</v>
      </c>
    </row>
    <row r="467" spans="1:1">
      <c r="A467" t="str">
        <f>CONCATENATE("{'SheetId':'97f94cc4-2cf1-490f-9992-d56edff2a48b'",",","'UId':'568d7d46-a83c-4b46-bc9f-0b345c10f451'",",'Col':",COLUMN(BCDMDT_06108!F16),",'Row':",ROW(BCDMDT_06108!F16),",","'Format':'numberic'",",'Value':'",SUBSTITUTE(BCDMDT_06108!F16,"'","\'"),"','TargetCode':''}")</f>
        <v>{'SheetId':'97f94cc4-2cf1-490f-9992-d56edff2a48b','UId':'568d7d46-a83c-4b46-bc9f-0b345c10f451','Col':6,'Row':16,'Format':'numberic','Value':'0','TargetCode':''}</v>
      </c>
    </row>
    <row r="468" spans="1:1">
      <c r="A468" t="str">
        <f>CONCATENATE("{'SheetId':'97f94cc4-2cf1-490f-9992-d56edff2a48b'",",","'UId':'40984a12-7865-4903-a489-3a50800fe9a1'",",'Col':",COLUMN(BCDMDT_06108!G16),",'Row':",ROW(BCDMDT_06108!G16),",","'Format':'numberic'",",'Value':'",SUBSTITUTE(BCDMDT_06108!G16,"'","\'"),"','TargetCode':''}")</f>
        <v>{'SheetId':'97f94cc4-2cf1-490f-9992-d56edff2a48b','UId':'40984a12-7865-4903-a489-3a50800fe9a1','Col':7,'Row':16,'Format':'numberic','Value':'0','TargetCode':''}</v>
      </c>
    </row>
    <row r="469" spans="1:1">
      <c r="A469" t="str">
        <f>CONCATENATE("{'SheetId':'97f94cc4-2cf1-490f-9992-d56edff2a48b'",",","'UId':'5aaae082-8da8-4940-9deb-493d9078553c'",",'Col':",COLUMN(BCDMDT_06108!D17),",'Row':",ROW(BCDMDT_06108!D17),",","'Format':'numberic'",",'Value':'",SUBSTITUTE(BCDMDT_06108!D17,"'","\'"),"','TargetCode':''}")</f>
        <v>{'SheetId':'97f94cc4-2cf1-490f-9992-d56edff2a48b','UId':'5aaae082-8da8-4940-9deb-493d9078553c','Col':4,'Row':17,'Format':'numberic','Value':'','TargetCode':''}</v>
      </c>
    </row>
    <row r="470" spans="1:1">
      <c r="A470" t="str">
        <f>CONCATENATE("{'SheetId':'97f94cc4-2cf1-490f-9992-d56edff2a48b'",",","'UId':'7e18af69-f67a-4d03-9114-95a6eb322f95'",",'Col':",COLUMN(BCDMDT_06108!E17),",'Row':",ROW(BCDMDT_06108!E17),",","'Format':'numberic'",",'Value':'",SUBSTITUTE(BCDMDT_06108!E17,"'","\'"),"','TargetCode':''}")</f>
        <v>{'SheetId':'97f94cc4-2cf1-490f-9992-d56edff2a48b','UId':'7e18af69-f67a-4d03-9114-95a6eb322f95','Col':5,'Row':17,'Format':'numberic','Value':'','TargetCode':''}</v>
      </c>
    </row>
    <row r="471" spans="1:1">
      <c r="A471" t="str">
        <f>CONCATENATE("{'SheetId':'97f94cc4-2cf1-490f-9992-d56edff2a48b'",",","'UId':'71b8f338-b37c-49fd-a991-d8a153913b22'",",'Col':",COLUMN(BCDMDT_06108!F17),",'Row':",ROW(BCDMDT_06108!F17),",","'Format':'numberic'",",'Value':'",SUBSTITUTE(BCDMDT_06108!F17,"'","\'"),"','TargetCode':''}")</f>
        <v>{'SheetId':'97f94cc4-2cf1-490f-9992-d56edff2a48b','UId':'71b8f338-b37c-49fd-a991-d8a153913b22','Col':6,'Row':17,'Format':'numberic','Value':'','TargetCode':''}</v>
      </c>
    </row>
    <row r="472" spans="1:1">
      <c r="A472" t="str">
        <f>CONCATENATE("{'SheetId':'97f94cc4-2cf1-490f-9992-d56edff2a48b'",",","'UId':'06e8433a-f8a5-4bed-a89c-6ade0c43f4d1'",",'Col':",COLUMN(BCDMDT_06108!G17),",'Row':",ROW(BCDMDT_06108!G17),",","'Format':'numberic'",",'Value':'",SUBSTITUTE(BCDMDT_06108!G17,"'","\'"),"','TargetCode':''}")</f>
        <v>{'SheetId':'97f94cc4-2cf1-490f-9992-d56edff2a48b','UId':'06e8433a-f8a5-4bed-a89c-6ade0c43f4d1','Col':7,'Row':17,'Format':'numberic','Value':'','TargetCode':''}</v>
      </c>
    </row>
    <row r="473" spans="1:1">
      <c r="A473" t="str">
        <f>CONCATENATE("{'SheetId':'97f94cc4-2cf1-490f-9992-d56edff2a48b'",",","'UId':'cf024e3f-6c0c-418d-8b49-55c65ec7ec95'",",'Col':",COLUMN(BCDMDT_06108!A26),",'Row':",ROW(BCDMDT_06108!A26),",","'ColDynamic':",COLUMN(BCDMDT_06108!A33),",","'RowDynamic':",ROW(BCDMDT_06108!A33),",","'Format':'numberic'",",'Value':'",SUBSTITUTE(BCDMDT_06108!A26,"'","\'"),"','TargetCode':''}")</f>
        <v>{'SheetId':'97f94cc4-2cf1-490f-9992-d56edff2a48b','UId':'cf024e3f-6c0c-418d-8b49-55c65ec7ec95','Col':1,'Row':26,'ColDynamic':1,'RowDynamic':33,'Format':'numberic','Value':'VI','TargetCode':''}</v>
      </c>
    </row>
    <row r="474" spans="1:1">
      <c r="A474" t="str">
        <f>CONCATENATE("{'SheetId':'97f94cc4-2cf1-490f-9992-d56edff2a48b'",",","'UId':'bab093ef-7bd1-48fd-aaae-4a9790143bf5'",",'Col':",COLUMN(BCDMDT_06108!B26),",'Row':",ROW(BCDMDT_06108!B26),",","'ColDynamic':",COLUMN(BCDMDT_06108!B33),",","'RowDynamic':",ROW(BCDMDT_06108!B33),",","'Format':'string'",",'Value':'",SUBSTITUTE(BCDMDT_06108!B26,"'","\'"),"','TargetCode':''}")</f>
        <v>{'SheetId':'97f94cc4-2cf1-490f-9992-d56edff2a48b','UId':'bab093ef-7bd1-48fd-aaae-4a9790143bf5','Col':2,'Row':26,'ColDynamic':2,'RowDynamic':33,'Format':'string','Value':'TIỀN
CASH','TargetCode':''}</v>
      </c>
    </row>
    <row r="475" spans="1:1">
      <c r="A475" t="str">
        <f>CONCATENATE("{'SheetId':'97f94cc4-2cf1-490f-9992-d56edff2a48b'",",","'UId':'8d178130-1ea6-493e-8be3-836d042b7f35'",",'Col':",COLUMN(BCDMDT_06108!C26),",'Row':",ROW(BCDMDT_06108!C26),",","'ColDynamic':",COLUMN(BCDMDT_06108!C33),",","'RowDynamic':",ROW(BCDMDT_06108!C33),",","'Format':'numberic'",",'Value':'",SUBSTITUTE(BCDMDT_06108!C26,"'","\'"),"','TargetCode':''}")</f>
        <v>{'SheetId':'97f94cc4-2cf1-490f-9992-d56edff2a48b','UId':'8d178130-1ea6-493e-8be3-836d042b7f35','Col':3,'Row':26,'ColDynamic':3,'RowDynamic':33,'Format':'numberic','Value':'4042','TargetCode':''}</v>
      </c>
    </row>
    <row r="476" spans="1:1">
      <c r="A476" t="str">
        <f>CONCATENATE("{'SheetId':'97f94cc4-2cf1-490f-9992-d56edff2a48b'",",","'UId':'c1677490-7516-44f0-8a45-18c9e47688f2'",",'Col':",COLUMN(BCDMDT_06108!D26),",'Row':",ROW(BCDMDT_06108!D26),",","'ColDynamic':",COLUMN(BCDMDT_06108!D33),",","'RowDynamic':",ROW(BCDMDT_06108!D33),",","'Format':'numberic'",",'Value':'",SUBSTITUTE(BCDMDT_06108!D26,"'","\'"),"','TargetCode':''}")</f>
        <v>{'SheetId':'97f94cc4-2cf1-490f-9992-d56edff2a48b','UId':'c1677490-7516-44f0-8a45-18c9e47688f2','Col':4,'Row':26,'ColDynamic':4,'RowDynamic':33,'Format':'numberic','Value':'','TargetCode':''}</v>
      </c>
    </row>
    <row r="477" spans="1:1">
      <c r="A477" t="str">
        <f>CONCATENATE("{'SheetId':'97f94cc4-2cf1-490f-9992-d56edff2a48b'",",","'UId':'c18d94f4-a7ff-48af-9948-94dd03d5c644'",",'Col':",COLUMN(BCDMDT_06108!E26),",'Row':",ROW(BCDMDT_06108!E26),",","'ColDynamic':",COLUMN(BCDMDT_06108!E33),",","'RowDynamic':",ROW(BCDMDT_06108!E33),",","'Format':'numberic'",",'Value':'",SUBSTITUTE(BCDMDT_06108!E26,"'","\'"),"','TargetCode':''}")</f>
        <v>{'SheetId':'97f94cc4-2cf1-490f-9992-d56edff2a48b','UId':'c18d94f4-a7ff-48af-9948-94dd03d5c644','Col':5,'Row':26,'ColDynamic':5,'RowDynamic':33,'Format':'numberic','Value':'','TargetCode':''}</v>
      </c>
    </row>
    <row r="478" spans="1:1">
      <c r="A478" t="str">
        <f>CONCATENATE("{'SheetId':'97f94cc4-2cf1-490f-9992-d56edff2a48b'",",","'UId':'9165ebb3-3739-4d81-a261-f89a3b450f4e'",",'Col':",COLUMN(BCDMDT_06108!F26),",'Row':",ROW(BCDMDT_06108!F26),",","'ColDynamic':",COLUMN(BCDMDT_06108!F33),",","'RowDynamic':",ROW(BCDMDT_06108!F33),",","'Format':'numberic'",",'Value':'",SUBSTITUTE(BCDMDT_06108!F26,"'","\'"),"','TargetCode':''}")</f>
        <v>{'SheetId':'97f94cc4-2cf1-490f-9992-d56edff2a48b','UId':'9165ebb3-3739-4d81-a261-f89a3b450f4e','Col':6,'Row':26,'ColDynamic':6,'RowDynamic':33,'Format':'numberic','Value':'','TargetCode':''}</v>
      </c>
    </row>
    <row r="479" spans="1:1">
      <c r="A479" t="str">
        <f>CONCATENATE("{'SheetId':'97f94cc4-2cf1-490f-9992-d56edff2a48b'",",","'UId':'5383f531-8c5d-4b61-a2e0-9949d7456c4f'",",'Col':",COLUMN(BCDMDT_06108!G26),",'Row':",ROW(BCDMDT_06108!G26),",","'ColDynamic':",COLUMN(BCDMDT_06108!G33),",","'RowDynamic':",ROW(BCDMDT_06108!G33),",","'Format':'numberic'",",'Value':'",SUBSTITUTE(BCDMDT_06108!G26,"'","\'"),"','TargetCode':''}")</f>
        <v>{'SheetId':'97f94cc4-2cf1-490f-9992-d56edff2a48b','UId':'5383f531-8c5d-4b61-a2e0-9949d7456c4f','Col':7,'Row':26,'ColDynamic':7,'RowDynamic':33,'Format':'numberic','Value':'','TargetCode':''}</v>
      </c>
    </row>
    <row r="480" spans="1:1">
      <c r="A480" t="str">
        <f>CONCATENATE("{'SheetId':'97f94cc4-2cf1-490f-9992-d56edff2a48b'",",","'UId':'26543170-e0dc-49c6-b8d6-ab31cb86cf5e'",",'Col':",COLUMN(BCDMDT_06108!D27),",'Row':",ROW(BCDMDT_06108!D27),",","'Format':'numberic'",",'Value':'",SUBSTITUTE(BCDMDT_06108!D27,"'","\'"),"','TargetCode':''}")</f>
        <v>{'SheetId':'97f94cc4-2cf1-490f-9992-d56edff2a48b','UId':'26543170-e0dc-49c6-b8d6-ab31cb86cf5e','Col':4,'Row':27,'Format':'numberic','Value':'','TargetCode':''}</v>
      </c>
    </row>
    <row r="481" spans="1:1">
      <c r="A481" t="str">
        <f>CONCATENATE("{'SheetId':'97f94cc4-2cf1-490f-9992-d56edff2a48b'",",","'UId':'675dbcf4-5f5f-49b1-b523-3f0c91ed37bc'",",'Col':",COLUMN(BCDMDT_06108!E27),",'Row':",ROW(BCDMDT_06108!E27),",","'Format':'numberic'",",'Value':'",SUBSTITUTE(BCDMDT_06108!E27,"'","\'"),"','TargetCode':''}")</f>
        <v>{'SheetId':'97f94cc4-2cf1-490f-9992-d56edff2a48b','UId':'675dbcf4-5f5f-49b1-b523-3f0c91ed37bc','Col':5,'Row':27,'Format':'numberic','Value':'','TargetCode':''}</v>
      </c>
    </row>
    <row r="482" spans="1:1">
      <c r="A482" t="str">
        <f>CONCATENATE("{'SheetId':'97f94cc4-2cf1-490f-9992-d56edff2a48b'",",","'UId':'7766f28c-1e42-4c6d-a056-0d23c8f10652'",",'Col':",COLUMN(BCDMDT_06108!F27),",'Row':",ROW(BCDMDT_06108!F27),",","'Format':'numberic'",",'Value':'",SUBSTITUTE(BCDMDT_06108!F27,"'","\'"),"','TargetCode':''}")</f>
        <v>{'SheetId':'97f94cc4-2cf1-490f-9992-d56edff2a48b','UId':'7766f28c-1e42-4c6d-a056-0d23c8f10652','Col':6,'Row':27,'Format':'numberic','Value':'92121281100','TargetCode':''}</v>
      </c>
    </row>
    <row r="483" spans="1:1">
      <c r="A483" t="str">
        <f>CONCATENATE("{'SheetId':'97f94cc4-2cf1-490f-9992-d56edff2a48b'",",","'UId':'d0185705-d0f2-4207-9f42-3559fd7fccd6'",",'Col':",COLUMN(BCDMDT_06108!G27),",'Row':",ROW(BCDMDT_06108!G27),",","'Format':'numberic'",",'Value':'",SUBSTITUTE(BCDMDT_06108!G27,"'","\'"),"','TargetCode':''}")</f>
        <v>{'SheetId':'97f94cc4-2cf1-490f-9992-d56edff2a48b','UId':'d0185705-d0f2-4207-9f42-3559fd7fccd6','Col':7,'Row':27,'Format':'numberic','Value':'0.83300548166254','TargetCode':''}</v>
      </c>
    </row>
    <row r="484" spans="1:1">
      <c r="A484" t="str">
        <f>CONCATENATE("{'SheetId':'97f94cc4-2cf1-490f-9992-d56edff2a48b'",",","'UId':'5771d576-186a-42c7-8b2d-37effd7dd119'",",'Col':",COLUMN(BCDMDT_06108!D28),",'Row':",ROW(BCDMDT_06108!D28),",","'Format':'numberic'",",'Value':'",SUBSTITUTE(BCDMDT_06108!D28,"'","\'"),"','TargetCode':''}")</f>
        <v>{'SheetId':'97f94cc4-2cf1-490f-9992-d56edff2a48b','UId':'5771d576-186a-42c7-8b2d-37effd7dd119','Col':4,'Row':28,'Format':'numberic','Value':'','TargetCode':''}</v>
      </c>
    </row>
    <row r="485" spans="1:1">
      <c r="A485" t="str">
        <f>CONCATENATE("{'SheetId':'97f94cc4-2cf1-490f-9992-d56edff2a48b'",",","'UId':'e97e61f4-dde9-474b-b55b-5204e787313c'",",'Col':",COLUMN(BCDMDT_06108!E28),",'Row':",ROW(BCDMDT_06108!E28),",","'Format':'numberic'",",'Value':'",SUBSTITUTE(BCDMDT_06108!E28,"'","\'"),"','TargetCode':''}")</f>
        <v>{'SheetId':'97f94cc4-2cf1-490f-9992-d56edff2a48b','UId':'e97e61f4-dde9-474b-b55b-5204e787313c','Col':5,'Row':28,'Format':'numberic','Value':'','TargetCode':''}</v>
      </c>
    </row>
    <row r="486" spans="1:1">
      <c r="A486" t="str">
        <f>CONCATENATE("{'SheetId':'97f94cc4-2cf1-490f-9992-d56edff2a48b'",",","'UId':'ad2a09d5-3fe4-41c7-918c-71652dc1ff78'",",'Col':",COLUMN(BCDMDT_06108!F28),",'Row':",ROW(BCDMDT_06108!F28),",","'Format':'numberic'",",'Value':'",SUBSTITUTE(BCDMDT_06108!F28,"'","\'"),"','TargetCode':''}")</f>
        <v>{'SheetId':'97f94cc4-2cf1-490f-9992-d56edff2a48b','UId':'ad2a09d5-3fe4-41c7-918c-71652dc1ff78','Col':6,'Row':28,'Format':'numberic','Value':'1321281100','TargetCode':''}</v>
      </c>
    </row>
    <row r="487" spans="1:1">
      <c r="A487" t="str">
        <f>CONCATENATE("{'SheetId':'97f94cc4-2cf1-490f-9992-d56edff2a48b'",",","'UId':'a024435a-79b1-4882-a92d-662dd5e70793'",",'Col':",COLUMN(BCDMDT_06108!G28),",'Row':",ROW(BCDMDT_06108!G28),",","'Format':'numberic'",",'Value':'",SUBSTITUTE(BCDMDT_06108!G28,"'","\'"),"','TargetCode':''}")</f>
        <v>{'SheetId':'97f94cc4-2cf1-490f-9992-d56edff2a48b','UId':'a024435a-79b1-4882-a92d-662dd5e70793','Col':7,'Row':28,'Format':'numberic','Value':'0.0119476670968388','TargetCode':''}</v>
      </c>
    </row>
    <row r="488" spans="1:1">
      <c r="A488" t="str">
        <f>CONCATENATE("{'SheetId':'97f94cc4-2cf1-490f-9992-d56edff2a48b'",",","'UId':'0f2dead1-e171-4208-a851-914f69615f82'",",'Col':",COLUMN(BCDMDT_06108!A30),",'Row':",ROW(BCDMDT_06108!A30),",","'ColDynamic':",COLUMN(BCDMDT_06108!A29),",","'RowDynamic':",ROW(BCDMDT_06108!A29),",","'Format':'string'",",'Value':'",SUBSTITUTE(BCDMDT_06108!A30,"'","\'"),"','TargetCode':''}")</f>
        <v>{'SheetId':'97f94cc4-2cf1-490f-9992-d56edff2a48b','UId':'0f2dead1-e171-4208-a851-914f69615f82','Col':1,'Row':30,'ColDynamic':1,'RowDynamic':29,'Format':'string','Value':'1.3','TargetCode':''}</v>
      </c>
    </row>
    <row r="489" spans="1:1">
      <c r="A489" t="str">
        <f>CONCATENATE("{'SheetId':'97f94cc4-2cf1-490f-9992-d56edff2a48b'",",","'UId':'eb93bf88-bab4-4fc3-af47-6cda172e8c8c'",",'Col':",COLUMN(BCDMDT_06108!B30),",'Row':",ROW(BCDMDT_06108!B30),",","'ColDynamic':",COLUMN(BCDMDT_06108!B29),",","'RowDynamic':",ROW(BCDMDT_06108!B29),",","'Format':'string'",",'Value':'",SUBSTITUTE(BCDMDT_06108!B30,"'","\'"),"','TargetCode':''}")</f>
        <v>{'SheetId':'97f94cc4-2cf1-490f-9992-d56edff2a48b','UId':'eb93bf88-bab4-4fc3-af47-6cda172e8c8c','Col':2,'Row':30,'ColDynamic':2,'RowDynamic':29,'Format':'string','Value':'Tiền gửi có kỳ hạn trên 3 tháng
Deposits with term over three (03) months','TargetCode':''}</v>
      </c>
    </row>
    <row r="490" spans="1:1">
      <c r="A490" t="str">
        <f>CONCATENATE("{'SheetId':'97f94cc4-2cf1-490f-9992-d56edff2a48b'",",","'UId':'5d1f678e-30ec-4260-b6af-00c93418bc6c'",",'Col':",COLUMN(BCDMDT_06108!C30),",'Row':",ROW(BCDMDT_06108!C30),",","'ColDynamic':",COLUMN(BCDMDT_06108!C29),",","'RowDynamic':",ROW(BCDMDT_06108!C29),",","'Format':'string'",",'Value':'",SUBSTITUTE(BCDMDT_06108!C30,"'","\'"),"','TargetCode':''}")</f>
        <v>{'SheetId':'97f94cc4-2cf1-490f-9992-d56edff2a48b','UId':'5d1f678e-30ec-4260-b6af-00c93418bc6c','Col':3,'Row':30,'ColDynamic':3,'RowDynamic':29,'Format':'string','Value':'4043.3','TargetCode':''}</v>
      </c>
    </row>
    <row r="491" spans="1:1">
      <c r="A491" t="str">
        <f>CONCATENATE("{'SheetId':'97f94cc4-2cf1-490f-9992-d56edff2a48b'",",","'UId':'d2390ac2-17a1-4e79-9f9e-a0e1e918db24'",",'Col':",COLUMN(BCDMDT_06108!D30),",'Row':",ROW(BCDMDT_06108!D30),",","'ColDynamic':",COLUMN(BCDMDT_06108!D29),",","'RowDynamic':",ROW(BCDMDT_06108!D29),",","'Format':'numberic'",",'Value':'",SUBSTITUTE(BCDMDT_06108!D30,"'","\'"),"','TargetCode':''}")</f>
        <v>{'SheetId':'97f94cc4-2cf1-490f-9992-d56edff2a48b','UId':'d2390ac2-17a1-4e79-9f9e-a0e1e918db24','Col':4,'Row':30,'ColDynamic':4,'RowDynamic':29,'Format':'numberic','Value':'','TargetCode':''}</v>
      </c>
    </row>
    <row r="492" spans="1:1">
      <c r="A492" t="str">
        <f>CONCATENATE("{'SheetId':'97f94cc4-2cf1-490f-9992-d56edff2a48b'",",","'UId':'987b1e5b-5774-4c91-a7c9-c25f0cb75f38'",",'Col':",COLUMN(BCDMDT_06108!E30),",'Row':",ROW(BCDMDT_06108!E30),",","'ColDynamic':",COLUMN(BCDMDT_06108!E29),",","'RowDynamic':",ROW(BCDMDT_06108!E29),",","'Format':'numberic'",",'Value':'",SUBSTITUTE(BCDMDT_06108!E30,"'","\'"),"','TargetCode':''}")</f>
        <v>{'SheetId':'97f94cc4-2cf1-490f-9992-d56edff2a48b','UId':'987b1e5b-5774-4c91-a7c9-c25f0cb75f38','Col':5,'Row':30,'ColDynamic':5,'RowDynamic':29,'Format':'numberic','Value':'','TargetCode':''}</v>
      </c>
    </row>
    <row r="493" spans="1:1">
      <c r="A493" t="str">
        <f>CONCATENATE("{'SheetId':'97f94cc4-2cf1-490f-9992-d56edff2a48b'",",","'UId':'940e47b0-c384-4fd9-8187-9682427c7877'",",'Col':",COLUMN(BCDMDT_06108!F30),",'Row':",ROW(BCDMDT_06108!F30),",","'ColDynamic':",COLUMN(BCDMDT_06108!F29),",","'RowDynamic':",ROW(BCDMDT_06108!F29),",","'Format':'numberic'",",'Value':'",SUBSTITUTE(BCDMDT_06108!F30,"'","\'"),"','TargetCode':''}")</f>
        <v>{'SheetId':'97f94cc4-2cf1-490f-9992-d56edff2a48b','UId':'940e47b0-c384-4fd9-8187-9682427c7877','Col':6,'Row':30,'ColDynamic':6,'RowDynamic':29,'Format':'numberic','Value':'90800000000','TargetCode':''}</v>
      </c>
    </row>
    <row r="494" spans="1:1">
      <c r="A494" t="str">
        <f>CONCATENATE("{'SheetId':'97f94cc4-2cf1-490f-9992-d56edff2a48b'",",","'UId':'43b5fa0f-b62a-48c5-a6e1-fd84c1ac4294'",",'Col':",COLUMN(BCDMDT_06108!G30),",'Row':",ROW(BCDMDT_06108!G30),",","'ColDynamic':",COLUMN(BCDMDT_06108!G29),",","'RowDynamic':",ROW(BCDMDT_06108!G29),",","'Format':'numberic'",",'Value':'",SUBSTITUTE(BCDMDT_06108!G30,"'","\'"),"','TargetCode':''}")</f>
        <v>{'SheetId':'97f94cc4-2cf1-490f-9992-d56edff2a48b','UId':'43b5fa0f-b62a-48c5-a6e1-fd84c1ac4294','Col':7,'Row':30,'ColDynamic':7,'RowDynamic':29,'Format':'numberic','Value':'0.821057814565701','TargetCode':''}</v>
      </c>
    </row>
    <row r="495" spans="1:1">
      <c r="A495" t="str">
        <f>CONCATENATE("{'SheetId':'97f94cc4-2cf1-490f-9992-d56edff2a48b'",",","'UId':'8e706584-9a97-411a-aa73-101d6bbfd1b3'",",'Col':",COLUMN(BCDMDT_06108!A32),",'Row':",ROW(BCDMDT_06108!A32),",","'ColDynamic':",COLUMN(BCDMDT_06108!A31),",","'RowDynamic':",ROW(BCDMDT_06108!A31),",","'Format':'string'",",'Value':'",SUBSTITUTE(BCDMDT_06108!A32,"'","\'"),"','TargetCode':''}")</f>
        <v>{'SheetId':'97f94cc4-2cf1-490f-9992-d56edff2a48b','UId':'8e706584-9a97-411a-aa73-101d6bbfd1b3','Col':1,'Row':32,'ColDynamic':1,'RowDynamic':31,'Format':'string','Value':'3','TargetCode':''}</v>
      </c>
    </row>
    <row r="496" spans="1:1">
      <c r="A496" t="str">
        <f>CONCATENATE("{'SheetId':'97f94cc4-2cf1-490f-9992-d56edff2a48b'",",","'UId':'ebbb73ee-21aa-4791-831d-554ddb8bda55'",",'Col':",COLUMN(BCDMDT_06108!B32),",'Row':",ROW(BCDMDT_06108!B32),",","'ColDynamic':",COLUMN(BCDMDT_06108!B31),",","'RowDynamic':",ROW(BCDMDT_06108!B31),",","'Format':'string'",",'Value':'",SUBSTITUTE(BCDMDT_06108!B32,"'","\'"),"','TargetCode':''}")</f>
        <v>{'SheetId':'97f94cc4-2cf1-490f-9992-d56edff2a48b','UId':'ebbb73ee-21aa-4791-831d-554ddb8bda55','Col':2,'Row':32,'ColDynamic':2,'RowDynamic':31,'Format':'string','Value':'Công cụ chuyển nhượng…
Transferable instruments…','TargetCode':''}</v>
      </c>
    </row>
    <row r="497" spans="1:1">
      <c r="A497" t="str">
        <f>CONCATENATE("{'SheetId':'97f94cc4-2cf1-490f-9992-d56edff2a48b'",",","'UId':'593a8ce3-bc56-4d99-bcfb-4d7543d6a8b5'",",'Col':",COLUMN(BCDMDT_06108!C32),",'Row':",ROW(BCDMDT_06108!C32),",","'ColDynamic':",COLUMN(BCDMDT_06108!C31),",","'RowDynamic':",ROW(BCDMDT_06108!C31),",","'Format':'string'",",'Value':'",SUBSTITUTE(BCDMDT_06108!C32,"'","\'"),"','TargetCode':''}")</f>
        <v>{'SheetId':'97f94cc4-2cf1-490f-9992-d56edff2a48b','UId':'593a8ce3-bc56-4d99-bcfb-4d7543d6a8b5','Col':3,'Row':32,'ColDynamic':3,'RowDynamic':31,'Format':'string','Value':'4045','TargetCode':''}</v>
      </c>
    </row>
    <row r="498" spans="1:1">
      <c r="A498" t="str">
        <f>CONCATENATE("{'SheetId':'97f94cc4-2cf1-490f-9992-d56edff2a48b'",",","'UId':'85c39c8e-7140-4a81-87fa-55f0bc0c1629'",",'Col':",COLUMN(BCDMDT_06108!D32),",'Row':",ROW(BCDMDT_06108!D32),",","'ColDynamic':",COLUMN(BCDMDT_06108!D31),",","'RowDynamic':",ROW(BCDMDT_06108!D31),",","'Format':'numberic'",",'Value':'",SUBSTITUTE(BCDMDT_06108!D32,"'","\'"),"','TargetCode':''}")</f>
        <v>{'SheetId':'97f94cc4-2cf1-490f-9992-d56edff2a48b','UId':'85c39c8e-7140-4a81-87fa-55f0bc0c1629','Col':4,'Row':32,'ColDynamic':4,'RowDynamic':31,'Format':'numberic','Value':'','TargetCode':''}</v>
      </c>
    </row>
    <row r="499" spans="1:1">
      <c r="A499" t="str">
        <f>CONCATENATE("{'SheetId':'97f94cc4-2cf1-490f-9992-d56edff2a48b'",",","'UId':'d9c57217-ce09-4810-bd54-36c17bc214d8'",",'Col':",COLUMN(BCDMDT_06108!E32),",'Row':",ROW(BCDMDT_06108!E32),",","'ColDynamic':",COLUMN(BCDMDT_06108!E31),",","'RowDynamic':",ROW(BCDMDT_06108!E31),",","'Format':'numberic'",",'Value':'",SUBSTITUTE(BCDMDT_06108!E32,"'","\'"),"','TargetCode':''}")</f>
        <v>{'SheetId':'97f94cc4-2cf1-490f-9992-d56edff2a48b','UId':'d9c57217-ce09-4810-bd54-36c17bc214d8','Col':5,'Row':32,'ColDynamic':5,'RowDynamic':31,'Format':'numberic','Value':'','TargetCode':''}</v>
      </c>
    </row>
    <row r="500" spans="1:1">
      <c r="A500" t="str">
        <f>CONCATENATE("{'SheetId':'97f94cc4-2cf1-490f-9992-d56edff2a48b'",",","'UId':'38610ebe-9b8a-4309-b7c2-3110b15b2b5d'",",'Col':",COLUMN(BCDMDT_06108!F32),",'Row':",ROW(BCDMDT_06108!F32),",","'ColDynamic':",COLUMN(BCDMDT_06108!F31),",","'RowDynamic':",ROW(BCDMDT_06108!F31),",","'Format':'numberic'",",'Value':'",SUBSTITUTE(BCDMDT_06108!F32,"'","\'"),"','TargetCode':''}")</f>
        <v>{'SheetId':'97f94cc4-2cf1-490f-9992-d56edff2a48b','UId':'38610ebe-9b8a-4309-b7c2-3110b15b2b5d','Col':6,'Row':32,'ColDynamic':6,'RowDynamic':31,'Format':'numberic','Value':'0','TargetCode':''}</v>
      </c>
    </row>
    <row r="501" spans="1:1">
      <c r="A501" t="str">
        <f>CONCATENATE("{'SheetId':'97f94cc4-2cf1-490f-9992-d56edff2a48b'",",","'UId':'745905bb-4e76-44d5-861b-a752d05e1015'",",'Col':",COLUMN(BCDMDT_06108!G32),",'Row':",ROW(BCDMDT_06108!G32),",","'ColDynamic':",COLUMN(BCDMDT_06108!G31),",","'RowDynamic':",ROW(BCDMDT_06108!G31),",","'Format':'numberic'",",'Value':'",SUBSTITUTE(BCDMDT_06108!G32,"'","\'"),"','TargetCode':''}")</f>
        <v>{'SheetId':'97f94cc4-2cf1-490f-9992-d56edff2a48b','UId':'745905bb-4e76-44d5-861b-a752d05e1015','Col':7,'Row':32,'ColDynamic':7,'RowDynamic':31,'Format':'numberic','Value':'0','TargetCode':''}</v>
      </c>
    </row>
    <row r="502" spans="1:1">
      <c r="A502" t="str">
        <f>CONCATENATE("{'SheetId':'97f94cc4-2cf1-490f-9992-d56edff2a48b'",",","'UId':'ba304c12-e7bb-4492-a411-67aeda462538'",",'Col':",COLUMN(BCDMDT_06108!A34),",'Row':",ROW(BCDMDT_06108!A34),",","'ColDynamic':",COLUMN(BCDMDT_06108!A33),",","'RowDynamic':",ROW(BCDMDT_06108!A33),",","'Format':'string'",",'Value':'",SUBSTITUTE(BCDMDT_06108!A34,"'","\'"),"','TargetCode':''}")</f>
        <v>{'SheetId':'97f94cc4-2cf1-490f-9992-d56edff2a48b','UId':'ba304c12-e7bb-4492-a411-67aeda462538','Col':1,'Row':34,'ColDynamic':1,'RowDynamic':33,'Format':'string','Value':'VII','TargetCode':''}</v>
      </c>
    </row>
    <row r="503" spans="1:1">
      <c r="A503" t="str">
        <f>CONCATENATE("{'SheetId':'97f94cc4-2cf1-490f-9992-d56edff2a48b'",",","'UId':'fe07c8b5-4d0a-48c2-b69a-c36dfc0d8639'",",'Col':",COLUMN(BCDMDT_06108!B34),",'Row':",ROW(BCDMDT_06108!B34),",","'ColDynamic':",COLUMN(BCDMDT_06108!B33),",","'RowDynamic':",ROW(BCDMDT_06108!B33),",","'Format':'string'",",'Value':'",SUBSTITUTE(BCDMDT_06108!B34,"'","\'"),"','TargetCode':''}")</f>
        <v>{'SheetId':'97f94cc4-2cf1-490f-9992-d56edff2a48b','UId':'fe07c8b5-4d0a-48c2-b69a-c36dfc0d8639','Col':2,'Row':34,'ColDynamic':2,'RowDynamic':33,'Format':'string','Value':'Tổng giá trị danh mục 
Total value of portfolio','TargetCode':''}</v>
      </c>
    </row>
    <row r="504" spans="1:1">
      <c r="A504" t="str">
        <f>CONCATENATE("{'SheetId':'97f94cc4-2cf1-490f-9992-d56edff2a48b'",",","'UId':'95fe39c2-de30-4df1-add3-646d1235b621'",",'Col':",COLUMN(BCDMDT_06108!C34),",'Row':",ROW(BCDMDT_06108!C34),",","'ColDynamic':",COLUMN(BCDMDT_06108!C33),",","'RowDynamic':",ROW(BCDMDT_06108!C33),",","'Format':'string'",",'Value':'",SUBSTITUTE(BCDMDT_06108!C34,"'","\'"),"','TargetCode':''}")</f>
        <v>{'SheetId':'97f94cc4-2cf1-490f-9992-d56edff2a48b','UId':'95fe39c2-de30-4df1-add3-646d1235b621','Col':3,'Row':34,'ColDynamic':3,'RowDynamic':33,'Format':'string','Value':'4047','TargetCode':''}</v>
      </c>
    </row>
    <row r="505" spans="1:1">
      <c r="A505" t="str">
        <f>CONCATENATE("{'SheetId':'97f94cc4-2cf1-490f-9992-d56edff2a48b'",",","'UId':'64ade038-1439-4677-b751-5b2beb58acd0'",",'Col':",COLUMN(BCDMDT_06108!D34),",'Row':",ROW(BCDMDT_06108!D34),",","'ColDynamic':",COLUMN(BCDMDT_06108!D33),",","'RowDynamic':",ROW(BCDMDT_06108!D33),",","'Format':'numberic'",",'Value':'",SUBSTITUTE(BCDMDT_06108!D34,"'","\'"),"','TargetCode':''}")</f>
        <v>{'SheetId':'97f94cc4-2cf1-490f-9992-d56edff2a48b','UId':'64ade038-1439-4677-b751-5b2beb58acd0','Col':4,'Row':34,'ColDynamic':4,'RowDynamic':33,'Format':'numberic','Value':'','TargetCode':''}</v>
      </c>
    </row>
    <row r="506" spans="1:1">
      <c r="A506" t="str">
        <f>CONCATENATE("{'SheetId':'97f94cc4-2cf1-490f-9992-d56edff2a48b'",",","'UId':'ee34460a-dd81-4a8f-8529-2101f8dbaf7e'",",'Col':",COLUMN(BCDMDT_06108!E34),",'Row':",ROW(BCDMDT_06108!E34),",","'ColDynamic':",COLUMN(BCDMDT_06108!E33),",","'RowDynamic':",ROW(BCDMDT_06108!E33),",","'Format':'numberic'",",'Value':'",SUBSTITUTE(BCDMDT_06108!E34,"'","\'"),"','TargetCode':''}")</f>
        <v>{'SheetId':'97f94cc4-2cf1-490f-9992-d56edff2a48b','UId':'ee34460a-dd81-4a8f-8529-2101f8dbaf7e','Col':5,'Row':34,'ColDynamic':5,'RowDynamic':33,'Format':'numberic','Value':'','TargetCode':''}</v>
      </c>
    </row>
    <row r="507" spans="1:1">
      <c r="A507" t="str">
        <f>CONCATENATE("{'SheetId':'97f94cc4-2cf1-490f-9992-d56edff2a48b'",",","'UId':'8aec7324-8930-484d-b27a-ac318204e770'",",'Col':",COLUMN(BCDMDT_06108!F34),",'Row':",ROW(BCDMDT_06108!F34),",","'ColDynamic':",COLUMN(BCDMDT_06108!F33),",","'RowDynamic':",ROW(BCDMDT_06108!F33),",","'Format':'numberic'",",'Value':'",SUBSTITUTE(BCDMDT_06108!F34,"'","\'"),"','TargetCode':''}")</f>
        <v>{'SheetId':'97f94cc4-2cf1-490f-9992-d56edff2a48b','UId':'8aec7324-8930-484d-b27a-ac318204e770','Col':6,'Row':34,'ColDynamic':6,'RowDynamic':33,'Format':'numberic','Value':'110589045484','TargetCode':''}</v>
      </c>
    </row>
    <row r="508" spans="1:1">
      <c r="A508" t="str">
        <f>CONCATENATE("{'SheetId':'97f94cc4-2cf1-490f-9992-d56edff2a48b'",",","'UId':'04bb4ce5-a5db-4f79-97e1-5b2d2863fcc0'",",'Col':",COLUMN(BCDMDT_06108!G34),",'Row':",ROW(BCDMDT_06108!G34),",","'ColDynamic':",COLUMN(BCDMDT_06108!G33),",","'RowDynamic':",ROW(BCDMDT_06108!G33),",","'Format':'numberic'",",'Value':'",SUBSTITUTE(BCDMDT_06108!G34,"'","\'"),"','TargetCode':''}")</f>
        <v>{'SheetId':'97f94cc4-2cf1-490f-9992-d56edff2a48b','UId':'04bb4ce5-a5db-4f79-97e1-5b2d2863fcc0','Col':7,'Row':34,'ColDynamic':7,'RowDynamic':33,'Format':'numberic','Value':'1','TargetCode':''}</v>
      </c>
    </row>
    <row r="509" spans="1:1">
      <c r="A509" t="e">
        <f>CONCATENATE("{'SheetId':'97f94cc4-2cf1-490f-9992-d56edff2a48b'",",","'UId':'fc898edd-d60f-4260-bb15-9585358bc82d'",",'Col':",COLUMN(BCDMDT_06108!#REF!),",'Row':",ROW(BCDMDT_06108!#REF!),",","'Format':'numberic'",",'Value':'",SUBSTITUTE(BCDMDT_06108!#REF!,"'","\'"),"','TargetCode':''}")</f>
        <v>#REF!</v>
      </c>
    </row>
    <row r="510" spans="1:1">
      <c r="A510" t="e">
        <f>CONCATENATE("{'SheetId':'97f94cc4-2cf1-490f-9992-d56edff2a48b'",",","'UId':'97e826f4-0f91-4232-af23-59168daf6190'",",'Col':",COLUMN(BCDMDT_06108!#REF!),",'Row':",ROW(BCDMDT_06108!#REF!),",","'Format':'numberic'",",'Value':'",SUBSTITUTE(BCDMDT_06108!#REF!,"'","\'"),"','TargetCode':''}")</f>
        <v>#REF!</v>
      </c>
    </row>
    <row r="511" spans="1:1">
      <c r="A511" t="e">
        <f>CONCATENATE("{'SheetId':'97f94cc4-2cf1-490f-9992-d56edff2a48b'",",","'UId':'32f6d956-e560-4f40-88b5-30477b33740a'",",'Col':",COLUMN(BCDMDT_06108!#REF!),",'Row':",ROW(BCDMDT_06108!#REF!),",","'Format':'numberic'",",'Value':'",SUBSTITUTE(BCDMDT_06108!#REF!,"'","\'"),"','TargetCode':''}")</f>
        <v>#REF!</v>
      </c>
    </row>
    <row r="512" spans="1:1">
      <c r="A512" t="e">
        <f>CONCATENATE("{'SheetId':'97f94cc4-2cf1-490f-9992-d56edff2a48b'",",","'UId':'248f4055-e444-483d-bfbc-765aa7a5cc9e'",",'Col':",COLUMN(BCDMDT_06108!#REF!),",'Row':",ROW(BCDMDT_06108!#REF!),",","'Format':'numberic'",",'Value':'",SUBSTITUTE(BCDMDT_06108!#REF!,"'","\'"),"','TargetCode':''}")</f>
        <v>#REF!</v>
      </c>
    </row>
    <row r="513" spans="1:1">
      <c r="A513" t="str">
        <f>CONCATENATE("{'SheetId':'3d9f5a69-09d2-47bf-918c-13651271f903'",",","'UId':'b2d0debc-9e03-4df6-b089-6a388f140861'",",'Col':",COLUMN(BCLCGT_06262!C2),",'Row':",ROW(BCLCGT_06262!C2),",","'Format':'string'",",'Value':'",SUBSTITUTE(BCLCGT_06262!C2,"'","\'"),"','TargetCode':''}")</f>
        <v>{'SheetId':'3d9f5a69-09d2-47bf-918c-13651271f903','UId':'b2d0debc-9e03-4df6-b089-6a388f140861','Col':3,'Row':2,'Format':'string','Value':'','TargetCode':''}</v>
      </c>
    </row>
    <row r="514" spans="1:1">
      <c r="A514" t="str">
        <f>CONCATENATE("{'SheetId':'3d9f5a69-09d2-47bf-918c-13651271f903'",",","'UId':'8e688df7-ef39-45d8-8243-1468fe8c6c95'",",'Col':",COLUMN(BCLCGT_06262!D2),",'Row':",ROW(BCLCGT_06262!D2),",","'Format':'numberic'",",'Value':'",SUBSTITUTE(BCLCGT_06262!D2,"'","\'"),"','TargetCode':''}")</f>
        <v>{'SheetId':'3d9f5a69-09d2-47bf-918c-13651271f903','UId':'8e688df7-ef39-45d8-8243-1468fe8c6c95','Col':4,'Row':2,'Format':'numberic','Value':'','TargetCode':''}</v>
      </c>
    </row>
    <row r="515" spans="1:1">
      <c r="A515" t="str">
        <f>CONCATENATE("{'SheetId':'3d9f5a69-09d2-47bf-918c-13651271f903'",",","'UId':'8f9056da-7860-4f1e-aff6-2c5d7ba1a8bd'",",'Col':",COLUMN(BCLCGT_06262!E2),",'Row':",ROW(BCLCGT_06262!E2),",","'Format':'numberic'",",'Value':'",SUBSTITUTE(BCLCGT_06262!E2,"'","\'"),"','TargetCode':''}")</f>
        <v>{'SheetId':'3d9f5a69-09d2-47bf-918c-13651271f903','UId':'8f9056da-7860-4f1e-aff6-2c5d7ba1a8bd','Col':5,'Row':2,'Format':'numberic','Value':'','TargetCode':''}</v>
      </c>
    </row>
    <row r="516" spans="1:1">
      <c r="A516" t="str">
        <f>CONCATENATE("{'SheetId':'3d9f5a69-09d2-47bf-918c-13651271f903'",",","'UId':'db795fdf-07d0-4836-9354-57f7d8e4d9fa'",",'Col':",COLUMN(BCLCGT_06262!C3),",'Row':",ROW(BCLCGT_06262!C3),",","'Format':'string'",",'Value':'",SUBSTITUTE(BCLCGT_06262!C3,"'","\'"),"','TargetCode':''}")</f>
        <v>{'SheetId':'3d9f5a69-09d2-47bf-918c-13651271f903','UId':'db795fdf-07d0-4836-9354-57f7d8e4d9fa','Col':3,'Row':3,'Format':'string','Value':'','TargetCode':''}</v>
      </c>
    </row>
    <row r="517" spans="1:1">
      <c r="A517" t="str">
        <f>CONCATENATE("{'SheetId':'3d9f5a69-09d2-47bf-918c-13651271f903'",",","'UId':'502b0c65-f858-42b1-a43d-38e258167d7f'",",'Col':",COLUMN(BCLCGT_06262!D3),",'Row':",ROW(BCLCGT_06262!D3),",","'Format':'numberic'",",'Value':'",SUBSTITUTE(BCLCGT_06262!D3,"'","\'"),"','TargetCode':''}")</f>
        <v>{'SheetId':'3d9f5a69-09d2-47bf-918c-13651271f903','UId':'502b0c65-f858-42b1-a43d-38e258167d7f','Col':4,'Row':3,'Format':'numberic','Value':'2244176766','TargetCode':''}</v>
      </c>
    </row>
    <row r="518" spans="1:1">
      <c r="A518" t="str">
        <f>CONCATENATE("{'SheetId':'3d9f5a69-09d2-47bf-918c-13651271f903'",",","'UId':'522040fa-deb2-4565-be8c-81c67dc50ed5'",",'Col':",COLUMN(BCLCGT_06262!E3),",'Row':",ROW(BCLCGT_06262!E3),",","'Format':'numberic'",",'Value':'",SUBSTITUTE(BCLCGT_06262!E3,"'","\'"),"','TargetCode':''}")</f>
        <v>{'SheetId':'3d9f5a69-09d2-47bf-918c-13651271f903','UId':'522040fa-deb2-4565-be8c-81c67dc50ed5','Col':5,'Row':3,'Format':'numberic','Value':'2663686046','TargetCode':''}</v>
      </c>
    </row>
    <row r="519" spans="1:1">
      <c r="A519" t="str">
        <f>CONCATENATE("{'SheetId':'3d9f5a69-09d2-47bf-918c-13651271f903'",",","'UId':'634b232f-ca18-4880-8abd-eedf70661099'",",'Col':",COLUMN(BCLCGT_06262!C4),",'Row':",ROW(BCLCGT_06262!C4),",","'Format':'string'",",'Value':'",SUBSTITUTE(BCLCGT_06262!C4,"'","\'"),"','TargetCode':''}")</f>
        <v>{'SheetId':'3d9f5a69-09d2-47bf-918c-13651271f903','UId':'634b232f-ca18-4880-8abd-eedf70661099','Col':3,'Row':4,'Format':'string','Value':'','TargetCode':''}</v>
      </c>
    </row>
    <row r="520" spans="1:1">
      <c r="A520" t="str">
        <f>CONCATENATE("{'SheetId':'3d9f5a69-09d2-47bf-918c-13651271f903'",",","'UId':'91882236-93f8-48dc-97d7-999248002a13'",",'Col':",COLUMN(BCLCGT_06262!D4),",'Row':",ROW(BCLCGT_06262!D4),",","'Format':'numberic'",",'Value':'",SUBSTITUTE(BCLCGT_06262!D4,"'","\'"),"','TargetCode':''}")</f>
        <v>{'SheetId':'3d9f5a69-09d2-47bf-918c-13651271f903','UId':'91882236-93f8-48dc-97d7-999248002a13','Col':4,'Row':4,'Format':'numberic','Value':'4326027','TargetCode':''}</v>
      </c>
    </row>
    <row r="521" spans="1:1">
      <c r="A521" t="str">
        <f>CONCATENATE("{'SheetId':'3d9f5a69-09d2-47bf-918c-13651271f903'",",","'UId':'978dd67c-d3f6-4513-be62-d4bec6909cd2'",",'Col':",COLUMN(BCLCGT_06262!E4),",'Row':",ROW(BCLCGT_06262!E4),",","'Format':'numberic'",",'Value':'",SUBSTITUTE(BCLCGT_06262!E4,"'","\'"),"','TargetCode':''}")</f>
        <v>{'SheetId':'3d9f5a69-09d2-47bf-918c-13651271f903','UId':'978dd67c-d3f6-4513-be62-d4bec6909cd2','Col':5,'Row':4,'Format':'numberic','Value':'-16472005','TargetCode':''}</v>
      </c>
    </row>
    <row r="522" spans="1:1">
      <c r="A522" t="str">
        <f>CONCATENATE("{'SheetId':'3d9f5a69-09d2-47bf-918c-13651271f903'",",","'UId':'9b2eb370-48c6-4310-8c04-21c186009fd2'",",'Col':",COLUMN(BCLCGT_06262!C5),",'Row':",ROW(BCLCGT_06262!C5),",","'Format':'string'",",'Value':'",SUBSTITUTE(BCLCGT_06262!C5,"'","\'"),"','TargetCode':''}")</f>
        <v>{'SheetId':'3d9f5a69-09d2-47bf-918c-13651271f903','UId':'9b2eb370-48c6-4310-8c04-21c186009fd2','Col':3,'Row':5,'Format':'string','Value':'','TargetCode':''}</v>
      </c>
    </row>
    <row r="523" spans="1:1">
      <c r="A523" t="str">
        <f>CONCATENATE("{'SheetId':'3d9f5a69-09d2-47bf-918c-13651271f903'",",","'UId':'18a7025c-d558-4391-9bb9-fc345d1c3987'",",'Col':",COLUMN(BCLCGT_06262!D5),",'Row':",ROW(BCLCGT_06262!D5),",","'Format':'numberic'",",'Value':'",SUBSTITUTE(BCLCGT_06262!D5,"'","\'"),"','TargetCode':''}")</f>
        <v>{'SheetId':'3d9f5a69-09d2-47bf-918c-13651271f903','UId':'18a7025c-d558-4391-9bb9-fc345d1c3987','Col':4,'Row':5,'Format':'numberic','Value':'0','TargetCode':''}</v>
      </c>
    </row>
    <row r="524" spans="1:1">
      <c r="A524" t="str">
        <f>CONCATENATE("{'SheetId':'3d9f5a69-09d2-47bf-918c-13651271f903'",",","'UId':'13980df1-1263-4126-ac90-4bab8738fb04'",",'Col':",COLUMN(BCLCGT_06262!E5),",'Row':",ROW(BCLCGT_06262!E5),",","'Format':'numberic'",",'Value':'",SUBSTITUTE(BCLCGT_06262!E5,"'","\'"),"','TargetCode':''}")</f>
        <v>{'SheetId':'3d9f5a69-09d2-47bf-918c-13651271f903','UId':'13980df1-1263-4126-ac90-4bab8738fb04','Col':5,'Row':5,'Format':'numberic','Value':'0','TargetCode':''}</v>
      </c>
    </row>
    <row r="525" spans="1:1">
      <c r="A525" t="str">
        <f>CONCATENATE("{'SheetId':'3d9f5a69-09d2-47bf-918c-13651271f903'",",","'UId':'cc13a675-2792-44ef-ab08-752eb44ff00b'",",'Col':",COLUMN(BCLCGT_06262!C6),",'Row':",ROW(BCLCGT_06262!C6),",","'Format':'string'",",'Value':'",SUBSTITUTE(BCLCGT_06262!C6,"'","\'"),"','TargetCode':''}")</f>
        <v>{'SheetId':'3d9f5a69-09d2-47bf-918c-13651271f903','UId':'cc13a675-2792-44ef-ab08-752eb44ff00b','Col':3,'Row':6,'Format':'string','Value':'','TargetCode':''}</v>
      </c>
    </row>
    <row r="526" spans="1:1">
      <c r="A526" t="str">
        <f>CONCATENATE("{'SheetId':'3d9f5a69-09d2-47bf-918c-13651271f903'",",","'UId':'ffe2ab86-b969-4383-a3ed-bae66a2b4453'",",'Col':",COLUMN(BCLCGT_06262!D6),",'Row':",ROW(BCLCGT_06262!D6),",","'Format':'numberic'",",'Value':'",SUBSTITUTE(BCLCGT_06262!D6,"'","\'"),"','TargetCode':''}")</f>
        <v>{'SheetId':'3d9f5a69-09d2-47bf-918c-13651271f903','UId':'ffe2ab86-b969-4383-a3ed-bae66a2b4453','Col':4,'Row':6,'Format':'numberic','Value':'4326027','TargetCode':''}</v>
      </c>
    </row>
    <row r="527" spans="1:1">
      <c r="A527" t="str">
        <f>CONCATENATE("{'SheetId':'3d9f5a69-09d2-47bf-918c-13651271f903'",",","'UId':'3b90323c-1658-48f8-8539-d3e693f8efd7'",",'Col':",COLUMN(BCLCGT_06262!E6),",'Row':",ROW(BCLCGT_06262!E6),",","'Format':'numberic'",",'Value':'",SUBSTITUTE(BCLCGT_06262!E6,"'","\'"),"','TargetCode':''}")</f>
        <v>{'SheetId':'3d9f5a69-09d2-47bf-918c-13651271f903','UId':'3b90323c-1658-48f8-8539-d3e693f8efd7','Col':5,'Row':6,'Format':'numberic','Value':'-16472005','TargetCode':''}</v>
      </c>
    </row>
    <row r="528" spans="1:1">
      <c r="A528" t="str">
        <f>CONCATENATE("{'SheetId':'3d9f5a69-09d2-47bf-918c-13651271f903'",",","'UId':'ba125f78-6851-4a0e-92f1-bdd7609b6945'",",'Col':",COLUMN(BCLCGT_06262!C7),",'Row':",ROW(BCLCGT_06262!C7),",","'Format':'string'",",'Value':'",SUBSTITUTE(BCLCGT_06262!C7,"'","\'"),"','TargetCode':''}")</f>
        <v>{'SheetId':'3d9f5a69-09d2-47bf-918c-13651271f903','UId':'ba125f78-6851-4a0e-92f1-bdd7609b6945','Col':3,'Row':7,'Format':'string','Value':'','TargetCode':''}</v>
      </c>
    </row>
    <row r="529" spans="1:1">
      <c r="A529" t="str">
        <f>CONCATENATE("{'SheetId':'3d9f5a69-09d2-47bf-918c-13651271f903'",",","'UId':'73c1a238-34dd-4ed6-a18d-a7d10112ea10'",",'Col':",COLUMN(BCLCGT_06262!D7),",'Row':",ROW(BCLCGT_06262!D7),",","'Format':'numberic'",",'Value':'",SUBSTITUTE(BCLCGT_06262!D7,"'","\'"),"','TargetCode':''}")</f>
        <v>{'SheetId':'3d9f5a69-09d2-47bf-918c-13651271f903','UId':'73c1a238-34dd-4ed6-a18d-a7d10112ea10','Col':4,'Row':7,'Format':'numberic','Value':'2248502793','TargetCode':''}</v>
      </c>
    </row>
    <row r="530" spans="1:1">
      <c r="A530" t="str">
        <f>CONCATENATE("{'SheetId':'3d9f5a69-09d2-47bf-918c-13651271f903'",",","'UId':'b954be3c-a901-481d-8256-11b668991df2'",",'Col':",COLUMN(BCLCGT_06262!E7),",'Row':",ROW(BCLCGT_06262!E7),",","'Format':'numberic'",",'Value':'",SUBSTITUTE(BCLCGT_06262!E7,"'","\'"),"','TargetCode':''}")</f>
        <v>{'SheetId':'3d9f5a69-09d2-47bf-918c-13651271f903','UId':'b954be3c-a901-481d-8256-11b668991df2','Col':5,'Row':7,'Format':'numberic','Value':'2647214041','TargetCode':''}</v>
      </c>
    </row>
    <row r="531" spans="1:1">
      <c r="A531" t="str">
        <f>CONCATENATE("{'SheetId':'3d9f5a69-09d2-47bf-918c-13651271f903'",",","'UId':'44c089a3-19b4-4be4-bea6-71b81dcf3d03'",",'Col':",COLUMN(BCLCGT_06262!C8),",'Row':",ROW(BCLCGT_06262!C8),",","'Format':'string'",",'Value':'",SUBSTITUTE(BCLCGT_06262!C8,"'","\'"),"','TargetCode':''}")</f>
        <v>{'SheetId':'3d9f5a69-09d2-47bf-918c-13651271f903','UId':'44c089a3-19b4-4be4-bea6-71b81dcf3d03','Col':3,'Row':8,'Format':'string','Value':'','TargetCode':''}</v>
      </c>
    </row>
    <row r="532" spans="1:1">
      <c r="A532" t="str">
        <f>CONCATENATE("{'SheetId':'3d9f5a69-09d2-47bf-918c-13651271f903'",",","'UId':'4603edaf-3927-4b70-8516-b492bc9b450f'",",'Col':",COLUMN(BCLCGT_06262!D8),",'Row':",ROW(BCLCGT_06262!D8),",","'Format':'numberic'",",'Value':'",SUBSTITUTE(BCLCGT_06262!D8,"'","\'"),"','TargetCode':''}")</f>
        <v>{'SheetId':'3d9f5a69-09d2-47bf-918c-13651271f903','UId':'4603edaf-3927-4b70-8516-b492bc9b450f','Col':4,'Row':8,'Format':'numberic','Value':'-3000000000','TargetCode':''}</v>
      </c>
    </row>
    <row r="533" spans="1:1">
      <c r="A533" t="str">
        <f>CONCATENATE("{'SheetId':'3d9f5a69-09d2-47bf-918c-13651271f903'",",","'UId':'0f6d4932-e6b4-4701-830e-884e994eb0c4'",",'Col':",COLUMN(BCLCGT_06262!E8),",'Row':",ROW(BCLCGT_06262!E8),",","'Format':'numberic'",",'Value':'",SUBSTITUTE(BCLCGT_06262!E8,"'","\'"),"','TargetCode':''}")</f>
        <v>{'SheetId':'3d9f5a69-09d2-47bf-918c-13651271f903','UId':'0f6d4932-e6b4-4701-830e-884e994eb0c4','Col':5,'Row':8,'Format':'numberic','Value':'8000000000','TargetCode':''}</v>
      </c>
    </row>
    <row r="534" spans="1:1">
      <c r="A534" t="str">
        <f>CONCATENATE("{'SheetId':'3d9f5a69-09d2-47bf-918c-13651271f903'",",","'UId':'87ca118b-07a3-4ed0-a90c-1e901344f208'",",'Col':",COLUMN(BCLCGT_06262!C9),",'Row':",ROW(BCLCGT_06262!C9),",","'Format':'string'",",'Value':'",SUBSTITUTE(BCLCGT_06262!C9,"'","\'"),"','TargetCode':''}")</f>
        <v>{'SheetId':'3d9f5a69-09d2-47bf-918c-13651271f903','UId':'87ca118b-07a3-4ed0-a90c-1e901344f208','Col':3,'Row':9,'Format':'string','Value':'','TargetCode':''}</v>
      </c>
    </row>
    <row r="535" spans="1:1">
      <c r="A535" t="str">
        <f>CONCATENATE("{'SheetId':'3d9f5a69-09d2-47bf-918c-13651271f903'",",","'UId':'23d17f59-4db4-4737-8e7d-e886c6c6f5aa'",",'Col':",COLUMN(BCLCGT_06262!D9),",'Row':",ROW(BCLCGT_06262!D9),",","'Format':'numberic'",",'Value':'",SUBSTITUTE(BCLCGT_06262!D9,"'","\'"),"','TargetCode':''}")</f>
        <v>{'SheetId':'3d9f5a69-09d2-47bf-918c-13651271f903','UId':'23d17f59-4db4-4737-8e7d-e886c6c6f5aa','Col':4,'Row':9,'Format':'numberic','Value':'0','TargetCode':''}</v>
      </c>
    </row>
    <row r="536" spans="1:1">
      <c r="A536" t="str">
        <f>CONCATENATE("{'SheetId':'3d9f5a69-09d2-47bf-918c-13651271f903'",",","'UId':'4f862de9-af92-4ef3-866e-01a43340357d'",",'Col':",COLUMN(BCLCGT_06262!E9),",'Row':",ROW(BCLCGT_06262!E9),",","'Format':'numberic'",",'Value':'",SUBSTITUTE(BCLCGT_06262!E9,"'","\'"),"','TargetCode':''}")</f>
        <v>{'SheetId':'3d9f5a69-09d2-47bf-918c-13651271f903','UId':'4f862de9-af92-4ef3-866e-01a43340357d','Col':5,'Row':9,'Format':'numberic','Value':'0','TargetCode':''}</v>
      </c>
    </row>
    <row r="537" spans="1:1">
      <c r="A537" t="str">
        <f>CONCATENATE("{'SheetId':'3d9f5a69-09d2-47bf-918c-13651271f903'",",","'UId':'2ae71576-b846-4e0f-ab7f-7844884ccd97'",",'Col':",COLUMN(BCLCGT_06262!C10),",'Row':",ROW(BCLCGT_06262!C10),",","'Format':'string'",",'Value':'",SUBSTITUTE(BCLCGT_06262!C10,"'","\'"),"','TargetCode':''}")</f>
        <v>{'SheetId':'3d9f5a69-09d2-47bf-918c-13651271f903','UId':'2ae71576-b846-4e0f-ab7f-7844884ccd97','Col':3,'Row':10,'Format':'string','Value':'','TargetCode':''}</v>
      </c>
    </row>
    <row r="538" spans="1:1">
      <c r="A538" t="str">
        <f>CONCATENATE("{'SheetId':'3d9f5a69-09d2-47bf-918c-13651271f903'",",","'UId':'7294f050-f61e-4323-8f24-655a4c134817'",",'Col':",COLUMN(BCLCGT_06262!D10),",'Row':",ROW(BCLCGT_06262!D10),",","'Format':'numberic'",",'Value':'",SUBSTITUTE(BCLCGT_06262!D10,"'","\'"),"','TargetCode':''}")</f>
        <v>{'SheetId':'3d9f5a69-09d2-47bf-918c-13651271f903','UId':'7294f050-f61e-4323-8f24-655a4c134817','Col':4,'Row':10,'Format':'numberic','Value':'102402192','TargetCode':''}</v>
      </c>
    </row>
    <row r="539" spans="1:1">
      <c r="A539" t="str">
        <f>CONCATENATE("{'SheetId':'3d9f5a69-09d2-47bf-918c-13651271f903'",",","'UId':'07f69c92-abf4-43e6-99e1-47a7a8aefd66'",",'Col':",COLUMN(BCLCGT_06262!E10),",'Row':",ROW(BCLCGT_06262!E10),",","'Format':'numberic'",",'Value':'",SUBSTITUTE(BCLCGT_06262!E10,"'","\'"),"','TargetCode':''}")</f>
        <v>{'SheetId':'3d9f5a69-09d2-47bf-918c-13651271f903','UId':'07f69c92-abf4-43e6-99e1-47a7a8aefd66','Col':5,'Row':10,'Format':'numberic','Value':'-683621917','TargetCode':''}</v>
      </c>
    </row>
    <row r="540" spans="1:1">
      <c r="A540" t="str">
        <f>CONCATENATE("{'SheetId':'3d9f5a69-09d2-47bf-918c-13651271f903'",",","'UId':'d6b2ac39-bd7d-4185-aecf-28fe48ca4084'",",'Col':",COLUMN(BCLCGT_06262!C11),",'Row':",ROW(BCLCGT_06262!C11),",","'Format':'string'",",'Value':'",SUBSTITUTE(BCLCGT_06262!C11,"'","\'"),"','TargetCode':''}")</f>
        <v>{'SheetId':'3d9f5a69-09d2-47bf-918c-13651271f903','UId':'d6b2ac39-bd7d-4185-aecf-28fe48ca4084','Col':3,'Row':11,'Format':'string','Value':'','TargetCode':''}</v>
      </c>
    </row>
    <row r="541" spans="1:1">
      <c r="A541" t="str">
        <f>CONCATENATE("{'SheetId':'3d9f5a69-09d2-47bf-918c-13651271f903'",",","'UId':'d0b824aa-b664-4673-a96c-a220e8d1a35f'",",'Col':",COLUMN(BCLCGT_06262!D11),",'Row':",ROW(BCLCGT_06262!D11),",","'Format':'numberic'",",'Value':'",SUBSTITUTE(BCLCGT_06262!D11,"'","\'"),"','TargetCode':''}")</f>
        <v>{'SheetId':'3d9f5a69-09d2-47bf-918c-13651271f903','UId':'d0b824aa-b664-4673-a96c-a220e8d1a35f','Col':4,'Row':11,'Format':'numberic','Value':'0','TargetCode':''}</v>
      </c>
    </row>
    <row r="542" spans="1:1">
      <c r="A542" t="str">
        <f>CONCATENATE("{'SheetId':'3d9f5a69-09d2-47bf-918c-13651271f903'",",","'UId':'56610dd1-1aca-47dc-81eb-8061829e616a'",",'Col':",COLUMN(BCLCGT_06262!E11),",'Row':",ROW(BCLCGT_06262!E11),",","'Format':'numberic'",",'Value':'",SUBSTITUTE(BCLCGT_06262!E11,"'","\'"),"','TargetCode':''}")</f>
        <v>{'SheetId':'3d9f5a69-09d2-47bf-918c-13651271f903','UId':'56610dd1-1aca-47dc-81eb-8061829e616a','Col':5,'Row':11,'Format':'numberic','Value':'0','TargetCode':''}</v>
      </c>
    </row>
    <row r="543" spans="1:1">
      <c r="A543" t="str">
        <f>CONCATENATE("{'SheetId':'3d9f5a69-09d2-47bf-918c-13651271f903'",",","'UId':'902faf2c-a4da-4ab2-977b-1ae0ea70a547'",",'Col':",COLUMN(BCLCGT_06262!C12),",'Row':",ROW(BCLCGT_06262!C12),",","'Format':'string'",",'Value':'",SUBSTITUTE(BCLCGT_06262!C12,"'","\'"),"','TargetCode':''}")</f>
        <v>{'SheetId':'3d9f5a69-09d2-47bf-918c-13651271f903','UId':'902faf2c-a4da-4ab2-977b-1ae0ea70a547','Col':3,'Row':12,'Format':'string','Value':'','TargetCode':''}</v>
      </c>
    </row>
    <row r="544" spans="1:1">
      <c r="A544" t="str">
        <f>CONCATENATE("{'SheetId':'3d9f5a69-09d2-47bf-918c-13651271f903'",",","'UId':'a126646e-6845-4f0a-b657-5f26d923c732'",",'Col':",COLUMN(BCLCGT_06262!D12),",'Row':",ROW(BCLCGT_06262!D12),",","'Format':'numberic'",",'Value':'",SUBSTITUTE(BCLCGT_06262!D12,"'","\'"),"','TargetCode':''}")</f>
        <v>{'SheetId':'3d9f5a69-09d2-47bf-918c-13651271f903','UId':'a126646e-6845-4f0a-b657-5f26d923c732','Col':4,'Row':12,'Format':'numberic','Value':'0','TargetCode':''}</v>
      </c>
    </row>
    <row r="545" spans="1:1">
      <c r="A545" t="str">
        <f>CONCATENATE("{'SheetId':'3d9f5a69-09d2-47bf-918c-13651271f903'",",","'UId':'464c9391-d960-4e09-ab06-3bd0991a7eef'",",'Col':",COLUMN(BCLCGT_06262!E12),",'Row':",ROW(BCLCGT_06262!E12),",","'Format':'numberic'",",'Value':'",SUBSTITUTE(BCLCGT_06262!E12,"'","\'"),"','TargetCode':''}")</f>
        <v>{'SheetId':'3d9f5a69-09d2-47bf-918c-13651271f903','UId':'464c9391-d960-4e09-ab06-3bd0991a7eef','Col':5,'Row':12,'Format':'numberic','Value':'0','TargetCode':''}</v>
      </c>
    </row>
    <row r="546" spans="1:1">
      <c r="A546" t="str">
        <f>CONCATENATE("{'SheetId':'3d9f5a69-09d2-47bf-918c-13651271f903'",",","'UId':'b8639e37-9e30-40ed-b24a-2abb913db391'",",'Col':",COLUMN(BCLCGT_06262!C13),",'Row':",ROW(BCLCGT_06262!C13),",","'Format':'string'",",'Value':'",SUBSTITUTE(BCLCGT_06262!C13,"'","\'"),"','TargetCode':''}")</f>
        <v>{'SheetId':'3d9f5a69-09d2-47bf-918c-13651271f903','UId':'b8639e37-9e30-40ed-b24a-2abb913db391','Col':3,'Row':13,'Format':'string','Value':'','TargetCode':''}</v>
      </c>
    </row>
    <row r="547" spans="1:1">
      <c r="A547" t="str">
        <f>CONCATENATE("{'SheetId':'3d9f5a69-09d2-47bf-918c-13651271f903'",",","'UId':'afa714d6-d73f-4f60-a282-7a22390517e0'",",'Col':",COLUMN(BCLCGT_06262!D13),",'Row':",ROW(BCLCGT_06262!D13),",","'Format':'numberic'",",'Value':'",SUBSTITUTE(BCLCGT_06262!D13,"'","\'"),"','TargetCode':''}")</f>
        <v>{'SheetId':'3d9f5a69-09d2-47bf-918c-13651271f903','UId':'afa714d6-d73f-4f60-a282-7a22390517e0','Col':4,'Row':13,'Format':'numberic','Value':'0','TargetCode':''}</v>
      </c>
    </row>
    <row r="548" spans="1:1">
      <c r="A548" t="str">
        <f>CONCATENATE("{'SheetId':'3d9f5a69-09d2-47bf-918c-13651271f903'",",","'UId':'8631a240-c850-4a7f-b816-08564f906400'",",'Col':",COLUMN(BCLCGT_06262!E13),",'Row':",ROW(BCLCGT_06262!E13),",","'Format':'numberic'",",'Value':'",SUBSTITUTE(BCLCGT_06262!E13,"'","\'"),"','TargetCode':''}")</f>
        <v>{'SheetId':'3d9f5a69-09d2-47bf-918c-13651271f903','UId':'8631a240-c850-4a7f-b816-08564f906400','Col':5,'Row':13,'Format':'numberic','Value':'0','TargetCode':''}</v>
      </c>
    </row>
    <row r="549" spans="1:1">
      <c r="A549" t="str">
        <f>CONCATENATE("{'SheetId':'3d9f5a69-09d2-47bf-918c-13651271f903'",",","'UId':'c41ed8c6-18a4-411b-a0eb-421eefac1fda'",",'Col':",COLUMN(BCLCGT_06262!C14),",'Row':",ROW(BCLCGT_06262!C14),",","'Format':'string'",",'Value':'",SUBSTITUTE(BCLCGT_06262!C14,"'","\'"),"','TargetCode':''}")</f>
        <v>{'SheetId':'3d9f5a69-09d2-47bf-918c-13651271f903','UId':'c41ed8c6-18a4-411b-a0eb-421eefac1fda','Col':3,'Row':14,'Format':'string','Value':'','TargetCode':''}</v>
      </c>
    </row>
    <row r="550" spans="1:1">
      <c r="A550" t="str">
        <f>CONCATENATE("{'SheetId':'3d9f5a69-09d2-47bf-918c-13651271f903'",",","'UId':'baaeff25-ed58-4805-8b78-fbb0b659d150'",",'Col':",COLUMN(BCLCGT_06262!D14),",'Row':",ROW(BCLCGT_06262!D14),",","'Format':'numberic'",",'Value':'",SUBSTITUTE(BCLCGT_06262!D14,"'","\'"),"','TargetCode':''}")</f>
        <v>{'SheetId':'3d9f5a69-09d2-47bf-918c-13651271f903','UId':'baaeff25-ed58-4805-8b78-fbb0b659d150','Col':4,'Row':14,'Format':'numberic','Value':'0','TargetCode':''}</v>
      </c>
    </row>
    <row r="551" spans="1:1">
      <c r="A551" t="str">
        <f>CONCATENATE("{'SheetId':'3d9f5a69-09d2-47bf-918c-13651271f903'",",","'UId':'de431fc7-efd0-4d61-8bd7-0a4b5bf3c76a'",",'Col':",COLUMN(BCLCGT_06262!E14),",'Row':",ROW(BCLCGT_06262!E14),",","'Format':'numberic'",",'Value':'",SUBSTITUTE(BCLCGT_06262!E14,"'","\'"),"','TargetCode':''}")</f>
        <v>{'SheetId':'3d9f5a69-09d2-47bf-918c-13651271f903','UId':'de431fc7-efd0-4d61-8bd7-0a4b5bf3c76a','Col':5,'Row':14,'Format':'numberic','Value':'-146112','TargetCode':''}</v>
      </c>
    </row>
    <row r="552" spans="1:1">
      <c r="A552" t="str">
        <f>CONCATENATE("{'SheetId':'3d9f5a69-09d2-47bf-918c-13651271f903'",",","'UId':'9706d7e8-e586-44f4-ae9a-6f7f1d73feb1'",",'Col':",COLUMN(BCLCGT_06262!C15),",'Row':",ROW(BCLCGT_06262!C15),",","'Format':'string'",",'Value':'",SUBSTITUTE(BCLCGT_06262!C15,"'","\'"),"','TargetCode':''}")</f>
        <v>{'SheetId':'3d9f5a69-09d2-47bf-918c-13651271f903','UId':'9706d7e8-e586-44f4-ae9a-6f7f1d73feb1','Col':3,'Row':15,'Format':'string','Value':'','TargetCode':''}</v>
      </c>
    </row>
    <row r="553" spans="1:1">
      <c r="A553" t="str">
        <f>CONCATENATE("{'SheetId':'3d9f5a69-09d2-47bf-918c-13651271f903'",",","'UId':'304b2112-400b-4432-a524-f30abf33c400'",",'Col':",COLUMN(BCLCGT_06262!D15),",'Row':",ROW(BCLCGT_06262!D15),",","'Format':'numberic'",",'Value':'",SUBSTITUTE(BCLCGT_06262!D15,"'","\'"),"','TargetCode':''}")</f>
        <v>{'SheetId':'3d9f5a69-09d2-47bf-918c-13651271f903','UId':'304b2112-400b-4432-a524-f30abf33c400','Col':4,'Row':15,'Format':'numberic','Value':'0','TargetCode':''}</v>
      </c>
    </row>
    <row r="554" spans="1:1">
      <c r="A554" t="str">
        <f>CONCATENATE("{'SheetId':'3d9f5a69-09d2-47bf-918c-13651271f903'",",","'UId':'49ff7845-1412-46e3-893b-4e78c192b476'",",'Col':",COLUMN(BCLCGT_06262!E15),",'Row':",ROW(BCLCGT_06262!E15),",","'Format':'numberic'",",'Value':'",SUBSTITUTE(BCLCGT_06262!E15,"'","\'"),"','TargetCode':''}")</f>
        <v>{'SheetId':'3d9f5a69-09d2-47bf-918c-13651271f903','UId':'49ff7845-1412-46e3-893b-4e78c192b476','Col':5,'Row':15,'Format':'numberic','Value':'0','TargetCode':''}</v>
      </c>
    </row>
    <row r="555" spans="1:1">
      <c r="A555" t="str">
        <f>CONCATENATE("{'SheetId':'3d9f5a69-09d2-47bf-918c-13651271f903'",",","'UId':'5cc318b1-b3f5-4093-b613-f39b0499ac90'",",'Col':",COLUMN(BCLCGT_06262!C16),",'Row':",ROW(BCLCGT_06262!C16),",","'Format':'string'",",'Value':'",SUBSTITUTE(BCLCGT_06262!C16,"'","\'"),"','TargetCode':''}")</f>
        <v>{'SheetId':'3d9f5a69-09d2-47bf-918c-13651271f903','UId':'5cc318b1-b3f5-4093-b613-f39b0499ac90','Col':3,'Row':16,'Format':'string','Value':'','TargetCode':''}</v>
      </c>
    </row>
    <row r="556" spans="1:1">
      <c r="A556" t="str">
        <f>CONCATENATE("{'SheetId':'3d9f5a69-09d2-47bf-918c-13651271f903'",",","'UId':'4b839341-0732-4737-bb64-1197a2c916fe'",",'Col':",COLUMN(BCLCGT_06262!D16),",'Row':",ROW(BCLCGT_06262!D16),",","'Format':'numberic'",",'Value':'",SUBSTITUTE(BCLCGT_06262!D16,"'","\'"),"','TargetCode':''}")</f>
        <v>{'SheetId':'3d9f5a69-09d2-47bf-918c-13651271f903','UId':'4b839341-0732-4737-bb64-1197a2c916fe','Col':4,'Row':16,'Format':'numberic','Value':'1099','TargetCode':''}</v>
      </c>
    </row>
    <row r="557" spans="1:1">
      <c r="A557" t="str">
        <f>CONCATENATE("{'SheetId':'3d9f5a69-09d2-47bf-918c-13651271f903'",",","'UId':'dbec0dd9-271a-47c1-8eff-dae8103338ff'",",'Col':",COLUMN(BCLCGT_06262!E16),",'Row':",ROW(BCLCGT_06262!E16),",","'Format':'numberic'",",'Value':'",SUBSTITUTE(BCLCGT_06262!E16,"'","\'"),"','TargetCode':''}")</f>
        <v>{'SheetId':'3d9f5a69-09d2-47bf-918c-13651271f903','UId':'dbec0dd9-271a-47c1-8eff-dae8103338ff','Col':5,'Row':16,'Format':'numberic','Value':'-9222','TargetCode':''}</v>
      </c>
    </row>
    <row r="558" spans="1:1">
      <c r="A558" t="str">
        <f>CONCATENATE("{'SheetId':'3d9f5a69-09d2-47bf-918c-13651271f903'",",","'UId':'28948c0b-d1af-4048-9493-d55cf556b3cd'",",'Col':",COLUMN(BCLCGT_06262!C17),",'Row':",ROW(BCLCGT_06262!C17),",","'Format':'string'",",'Value':'",SUBSTITUTE(BCLCGT_06262!C17,"'","\'"),"','TargetCode':''}")</f>
        <v>{'SheetId':'3d9f5a69-09d2-47bf-918c-13651271f903','UId':'28948c0b-d1af-4048-9493-d55cf556b3cd','Col':3,'Row':17,'Format':'string','Value':'','TargetCode':''}</v>
      </c>
    </row>
    <row r="559" spans="1:1">
      <c r="A559" t="str">
        <f>CONCATENATE("{'SheetId':'3d9f5a69-09d2-47bf-918c-13651271f903'",",","'UId':'e0de7cd1-63e3-4981-9320-ab5b3577409d'",",'Col':",COLUMN(BCLCGT_06262!D17),",'Row':",ROW(BCLCGT_06262!D17),",","'Format':'numberic'",",'Value':'",SUBSTITUTE(BCLCGT_06262!D17,"'","\'"),"','TargetCode':''}")</f>
        <v>{'SheetId':'3d9f5a69-09d2-47bf-918c-13651271f903','UId':'e0de7cd1-63e3-4981-9320-ab5b3577409d','Col':4,'Row':17,'Format':'numberic','Value':'0','TargetCode':''}</v>
      </c>
    </row>
    <row r="560" spans="1:1">
      <c r="A560" t="str">
        <f>CONCATENATE("{'SheetId':'3d9f5a69-09d2-47bf-918c-13651271f903'",",","'UId':'ffce13a4-03ae-4932-a59b-eb24a71ffd97'",",'Col':",COLUMN(BCLCGT_06262!E17),",'Row':",ROW(BCLCGT_06262!E17),",","'Format':'numberic'",",'Value':'",SUBSTITUTE(BCLCGT_06262!E17,"'","\'"),"','TargetCode':''}")</f>
        <v>{'SheetId':'3d9f5a69-09d2-47bf-918c-13651271f903','UId':'ffce13a4-03ae-4932-a59b-eb24a71ffd97','Col':5,'Row':17,'Format':'numberic','Value':'2000000','TargetCode':''}</v>
      </c>
    </row>
    <row r="561" spans="1:1">
      <c r="A561" t="str">
        <f>CONCATENATE("{'SheetId':'3d9f5a69-09d2-47bf-918c-13651271f903'",",","'UId':'1c2e3010-4b7c-4eed-ba1a-8ab74517ecf3'",",'Col':",COLUMN(BCLCGT_06262!C18),",'Row':",ROW(BCLCGT_06262!C18),",","'Format':'string'",",'Value':'",SUBSTITUTE(BCLCGT_06262!C18,"'","\'"),"','TargetCode':''}")</f>
        <v>{'SheetId':'3d9f5a69-09d2-47bf-918c-13651271f903','UId':'1c2e3010-4b7c-4eed-ba1a-8ab74517ecf3','Col':3,'Row':18,'Format':'string','Value':'','TargetCode':''}</v>
      </c>
    </row>
    <row r="562" spans="1:1">
      <c r="A562" t="str">
        <f>CONCATENATE("{'SheetId':'3d9f5a69-09d2-47bf-918c-13651271f903'",",","'UId':'822e93a7-96a5-404c-ba37-12051d458643'",",'Col':",COLUMN(BCLCGT_06262!D18),",'Row':",ROW(BCLCGT_06262!D18),",","'Format':'numberic'",",'Value':'",SUBSTITUTE(BCLCGT_06262!D18,"'","\'"),"','TargetCode':''}")</f>
        <v>{'SheetId':'3d9f5a69-09d2-47bf-918c-13651271f903','UId':'822e93a7-96a5-404c-ba37-12051d458643','Col':4,'Row':18,'Format':'numberic','Value':'0','TargetCode':''}</v>
      </c>
    </row>
    <row r="563" spans="1:1">
      <c r="A563" t="str">
        <f>CONCATENATE("{'SheetId':'3d9f5a69-09d2-47bf-918c-13651271f903'",",","'UId':'25c05d3e-33c2-4033-9401-21bc2549abad'",",'Col':",COLUMN(BCLCGT_06262!E18),",'Row':",ROW(BCLCGT_06262!E18),",","'Format':'numberic'",",'Value':'",SUBSTITUTE(BCLCGT_06262!E18,"'","\'"),"','TargetCode':''}")</f>
        <v>{'SheetId':'3d9f5a69-09d2-47bf-918c-13651271f903','UId':'25c05d3e-33c2-4033-9401-21bc2549abad','Col':5,'Row':18,'Format':'numberic','Value':'0','TargetCode':''}</v>
      </c>
    </row>
    <row r="564" spans="1:1">
      <c r="A564" t="str">
        <f>CONCATENATE("{'SheetId':'3d9f5a69-09d2-47bf-918c-13651271f903'",",","'UId':'4e0886f1-548a-4bb7-9e76-86fe26e1a1f7'",",'Col':",COLUMN(BCLCGT_06262!C19),",'Row':",ROW(BCLCGT_06262!C19),",","'Format':'string'",",'Value':'",SUBSTITUTE(BCLCGT_06262!C19,"'","\'"),"','TargetCode':''}")</f>
        <v>{'SheetId':'3d9f5a69-09d2-47bf-918c-13651271f903','UId':'4e0886f1-548a-4bb7-9e76-86fe26e1a1f7','Col':3,'Row':19,'Format':'string','Value':'','TargetCode':''}</v>
      </c>
    </row>
    <row r="565" spans="1:1">
      <c r="A565" t="str">
        <f>CONCATENATE("{'SheetId':'3d9f5a69-09d2-47bf-918c-13651271f903'",",","'UId':'61d5df60-7115-4dce-b16e-228e18d079c5'",",'Col':",COLUMN(BCLCGT_06262!D19),",'Row':",ROW(BCLCGT_06262!D19),",","'Format':'numberic'",",'Value':'",SUBSTITUTE(BCLCGT_06262!D19,"'","\'"),"','TargetCode':''}")</f>
        <v>{'SheetId':'3d9f5a69-09d2-47bf-918c-13651271f903','UId':'61d5df60-7115-4dce-b16e-228e18d079c5','Col':4,'Row':19,'Format':'numberic','Value':'40500000','TargetCode':''}</v>
      </c>
    </row>
    <row r="566" spans="1:1">
      <c r="A566" t="str">
        <f>CONCATENATE("{'SheetId':'3d9f5a69-09d2-47bf-918c-13651271f903'",",","'UId':'d518b108-bc43-4df9-af2f-32c889563143'",",'Col':",COLUMN(BCLCGT_06262!E19),",'Row':",ROW(BCLCGT_06262!E19),",","'Format':'numberic'",",'Value':'",SUBSTITUTE(BCLCGT_06262!E19,"'","\'"),"','TargetCode':''}")</f>
        <v>{'SheetId':'3d9f5a69-09d2-47bf-918c-13651271f903','UId':'d518b108-bc43-4df9-af2f-32c889563143','Col':5,'Row':19,'Format':'numberic','Value':'0','TargetCode':''}</v>
      </c>
    </row>
    <row r="567" spans="1:1">
      <c r="A567" t="str">
        <f>CONCATENATE("{'SheetId':'3d9f5a69-09d2-47bf-918c-13651271f903'",",","'UId':'66004970-7110-4b4f-96d7-4fdc49d7c8f6'",",'Col':",COLUMN(BCLCGT_06262!C20),",'Row':",ROW(BCLCGT_06262!C20),",","'Format':'string'",",'Value':'",SUBSTITUTE(BCLCGT_06262!C20,"'","\'"),"','TargetCode':''}")</f>
        <v>{'SheetId':'3d9f5a69-09d2-47bf-918c-13651271f903','UId':'66004970-7110-4b4f-96d7-4fdc49d7c8f6','Col':3,'Row':20,'Format':'string','Value':'','TargetCode':''}</v>
      </c>
    </row>
    <row r="568" spans="1:1">
      <c r="A568" t="str">
        <f>CONCATENATE("{'SheetId':'3d9f5a69-09d2-47bf-918c-13651271f903'",",","'UId':'c1811a2b-f605-43cb-add8-783e2fa63b73'",",'Col':",COLUMN(BCLCGT_06262!D20),",'Row':",ROW(BCLCGT_06262!D20),",","'Format':'numberic'",",'Value':'",SUBSTITUTE(BCLCGT_06262!D20,"'","\'"),"','TargetCode':''}")</f>
        <v>{'SheetId':'3d9f5a69-09d2-47bf-918c-13651271f903','UId':'c1811a2b-f605-43cb-add8-783e2fa63b73','Col':4,'Row':20,'Format':'numberic','Value':'-994023','TargetCode':''}</v>
      </c>
    </row>
    <row r="569" spans="1:1">
      <c r="A569" t="str">
        <f>CONCATENATE("{'SheetId':'3d9f5a69-09d2-47bf-918c-13651271f903'",",","'UId':'3582a546-2d6e-4889-a081-16929b7f527e'",",'Col':",COLUMN(BCLCGT_06262!E20),",'Row':",ROW(BCLCGT_06262!E20),",","'Format':'numberic'",",'Value':'",SUBSTITUTE(BCLCGT_06262!E20,"'","\'"),"','TargetCode':''}")</f>
        <v>{'SheetId':'3d9f5a69-09d2-47bf-918c-13651271f903','UId':'3582a546-2d6e-4889-a081-16929b7f527e','Col':5,'Row':20,'Format':'numberic','Value':'5620376','TargetCode':''}</v>
      </c>
    </row>
    <row r="570" spans="1:1">
      <c r="A570" t="str">
        <f>CONCATENATE("{'SheetId':'3d9f5a69-09d2-47bf-918c-13651271f903'",",","'UId':'bdcda3fc-dc03-4719-a196-69a146507b59'",",'Col':",COLUMN(BCLCGT_06262!C21),",'Row':",ROW(BCLCGT_06262!C21),",","'Format':'string'",",'Value':'",SUBSTITUTE(BCLCGT_06262!C21,"'","\'"),"','TargetCode':''}")</f>
        <v>{'SheetId':'3d9f5a69-09d2-47bf-918c-13651271f903','UId':'bdcda3fc-dc03-4719-a196-69a146507b59','Col':3,'Row':21,'Format':'string','Value':'','TargetCode':''}</v>
      </c>
    </row>
    <row r="571" spans="1:1">
      <c r="A571" t="str">
        <f>CONCATENATE("{'SheetId':'3d9f5a69-09d2-47bf-918c-13651271f903'",",","'UId':'3734e48e-041f-4957-b362-dadd2d272877'",",'Col':",COLUMN(BCLCGT_06262!D21),",'Row':",ROW(BCLCGT_06262!D21),",","'Format':'numberic'",",'Value':'",SUBSTITUTE(BCLCGT_06262!D21,"'","\'"),"','TargetCode':''}")</f>
        <v>{'SheetId':'3d9f5a69-09d2-47bf-918c-13651271f903','UId':'3734e48e-041f-4957-b362-dadd2d272877','Col':4,'Row':21,'Format':'numberic','Value':'0','TargetCode':''}</v>
      </c>
    </row>
    <row r="572" spans="1:1">
      <c r="A572" t="str">
        <f>CONCATENATE("{'SheetId':'3d9f5a69-09d2-47bf-918c-13651271f903'",",","'UId':'d65ac4a7-c34b-4815-a5fe-43b763811db5'",",'Col':",COLUMN(BCLCGT_06262!E21),",'Row':",ROW(BCLCGT_06262!E21),",","'Format':'numberic'",",'Value':'",SUBSTITUTE(BCLCGT_06262!E21,"'","\'"),"','TargetCode':''}")</f>
        <v>{'SheetId':'3d9f5a69-09d2-47bf-918c-13651271f903','UId':'d65ac4a7-c34b-4815-a5fe-43b763811db5','Col':5,'Row':21,'Format':'numberic','Value':'0','TargetCode':''}</v>
      </c>
    </row>
    <row r="573" spans="1:1">
      <c r="A573" t="str">
        <f>CONCATENATE("{'SheetId':'3d9f5a69-09d2-47bf-918c-13651271f903'",",","'UId':'a03bcdc6-2590-4bed-9d48-723cde6caafe'",",'Col':",COLUMN(BCLCGT_06262!C22),",'Row':",ROW(BCLCGT_06262!C22),",","'Format':'string'",",'Value':'",SUBSTITUTE(BCLCGT_06262!C22,"'","\'"),"','TargetCode':''}")</f>
        <v>{'SheetId':'3d9f5a69-09d2-47bf-918c-13651271f903','UId':'a03bcdc6-2590-4bed-9d48-723cde6caafe','Col':3,'Row':22,'Format':'string','Value':'','TargetCode':''}</v>
      </c>
    </row>
    <row r="574" spans="1:1">
      <c r="A574" t="str">
        <f>CONCATENATE("{'SheetId':'3d9f5a69-09d2-47bf-918c-13651271f903'",",","'UId':'8c8b69f1-cc40-4b54-90df-311c78ba4148'",",'Col':",COLUMN(BCLCGT_06262!D22),",'Row':",ROW(BCLCGT_06262!D22),",","'Format':'numberic'",",'Value':'",SUBSTITUTE(BCLCGT_06262!D22,"'","\'"),"','TargetCode':''}")</f>
        <v>{'SheetId':'3d9f5a69-09d2-47bf-918c-13651271f903','UId':'8c8b69f1-cc40-4b54-90df-311c78ba4148','Col':4,'Row':22,'Format':'numberic','Value':'-609587939','TargetCode':''}</v>
      </c>
    </row>
    <row r="575" spans="1:1">
      <c r="A575" t="str">
        <f>CONCATENATE("{'SheetId':'3d9f5a69-09d2-47bf-918c-13651271f903'",",","'UId':'fd606e9b-ec43-41fb-b336-0441e41cb06e'",",'Col':",COLUMN(BCLCGT_06262!E22),",'Row':",ROW(BCLCGT_06262!E22),",","'Format':'numberic'",",'Value':'",SUBSTITUTE(BCLCGT_06262!E22,"'","\'"),"','TargetCode':''}")</f>
        <v>{'SheetId':'3d9f5a69-09d2-47bf-918c-13651271f903','UId':'fd606e9b-ec43-41fb-b336-0441e41cb06e','Col':5,'Row':22,'Format':'numberic','Value':'9971057166','TargetCode':''}</v>
      </c>
    </row>
    <row r="576" spans="1:1">
      <c r="A576" t="str">
        <f>CONCATENATE("{'SheetId':'3d9f5a69-09d2-47bf-918c-13651271f903'",",","'UId':'299bcb44-8ad4-4966-8f80-872d0276fbe0'",",'Col':",COLUMN(BCLCGT_06262!C23),",'Row':",ROW(BCLCGT_06262!C23),",","'Format':'string'",",'Value':'",SUBSTITUTE(BCLCGT_06262!C23,"'","\'"),"','TargetCode':''}")</f>
        <v>{'SheetId':'3d9f5a69-09d2-47bf-918c-13651271f903','UId':'299bcb44-8ad4-4966-8f80-872d0276fbe0','Col':3,'Row':23,'Format':'string','Value':'','TargetCode':''}</v>
      </c>
    </row>
    <row r="577" spans="1:1">
      <c r="A577" t="str">
        <f>CONCATENATE("{'SheetId':'3d9f5a69-09d2-47bf-918c-13651271f903'",",","'UId':'4102551c-f6a6-4857-80b6-0ba4aa627107'",",'Col':",COLUMN(BCLCGT_06262!D23),",'Row':",ROW(BCLCGT_06262!D23),",","'Format':'numberic'",",'Value':'",SUBSTITUTE(BCLCGT_06262!D23,"'","\'"),"','TargetCode':''}")</f>
        <v>{'SheetId':'3d9f5a69-09d2-47bf-918c-13651271f903','UId':'4102551c-f6a6-4857-80b6-0ba4aa627107','Col':4,'Row':23,'Format':'numberic','Value':'','TargetCode':''}</v>
      </c>
    </row>
    <row r="578" spans="1:1">
      <c r="A578" t="str">
        <f>CONCATENATE("{'SheetId':'3d9f5a69-09d2-47bf-918c-13651271f903'",",","'UId':'2e28dc1f-fd18-4ee9-a1bb-7af25aa60221'",",'Col':",COLUMN(BCLCGT_06262!E23),",'Row':",ROW(BCLCGT_06262!E23),",","'Format':'numberic'",",'Value':'",SUBSTITUTE(BCLCGT_06262!E23,"'","\'"),"','TargetCode':''}")</f>
        <v>{'SheetId':'3d9f5a69-09d2-47bf-918c-13651271f903','UId':'2e28dc1f-fd18-4ee9-a1bb-7af25aa60221','Col':5,'Row':23,'Format':'numberic','Value':'','TargetCode':''}</v>
      </c>
    </row>
    <row r="579" spans="1:1">
      <c r="A579" t="str">
        <f>CONCATENATE("{'SheetId':'3d9f5a69-09d2-47bf-918c-13651271f903'",",","'UId':'ed19a0e2-d793-40be-a3c6-4eca320dc474'",",'Col':",COLUMN(BCLCGT_06262!C24),",'Row':",ROW(BCLCGT_06262!C24),",","'Format':'string'",",'Value':'",SUBSTITUTE(BCLCGT_06262!C24,"'","\'"),"','TargetCode':''}")</f>
        <v>{'SheetId':'3d9f5a69-09d2-47bf-918c-13651271f903','UId':'ed19a0e2-d793-40be-a3c6-4eca320dc474','Col':3,'Row':24,'Format':'string','Value':'','TargetCode':''}</v>
      </c>
    </row>
    <row r="580" spans="1:1">
      <c r="A580" t="str">
        <f>CONCATENATE("{'SheetId':'3d9f5a69-09d2-47bf-918c-13651271f903'",",","'UId':'2a1e2106-f27f-4229-8849-6edebf11f81b'",",'Col':",COLUMN(BCLCGT_06262!D24),",'Row':",ROW(BCLCGT_06262!D24),",","'Format':'numberic'",",'Value':'",SUBSTITUTE(BCLCGT_06262!D24,"'","\'"),"','TargetCode':''}")</f>
        <v>{'SheetId':'3d9f5a69-09d2-47bf-918c-13651271f903','UId':'2a1e2106-f27f-4229-8849-6edebf11f81b','Col':4,'Row':24,'Format':'numberic','Value':'19144000','TargetCode':''}</v>
      </c>
    </row>
    <row r="581" spans="1:1">
      <c r="A581" t="str">
        <f>CONCATENATE("{'SheetId':'3d9f5a69-09d2-47bf-918c-13651271f903'",",","'UId':'381baae0-c231-4083-bf49-2c02091221bc'",",'Col':",COLUMN(BCLCGT_06262!E24),",'Row':",ROW(BCLCGT_06262!E24),",","'Format':'numberic'",",'Value':'",SUBSTITUTE(BCLCGT_06262!E24,"'","\'"),"','TargetCode':''}")</f>
        <v>{'SheetId':'3d9f5a69-09d2-47bf-918c-13651271f903','UId':'381baae0-c231-4083-bf49-2c02091221bc','Col':5,'Row':24,'Format':'numberic','Value':'127500000','TargetCode':''}</v>
      </c>
    </row>
    <row r="582" spans="1:1">
      <c r="A582" t="str">
        <f>CONCATENATE("{'SheetId':'3d9f5a69-09d2-47bf-918c-13651271f903'",",","'UId':'f10956dc-8745-47a0-8cd4-b4547908ecc6'",",'Col':",COLUMN(BCLCGT_06262!C25),",'Row':",ROW(BCLCGT_06262!C25),",","'Format':'string'",",'Value':'",SUBSTITUTE(BCLCGT_06262!C25,"'","\'"),"','TargetCode':''}")</f>
        <v>{'SheetId':'3d9f5a69-09d2-47bf-918c-13651271f903','UId':'f10956dc-8745-47a0-8cd4-b4547908ecc6','Col':3,'Row':25,'Format':'string','Value':'','TargetCode':''}</v>
      </c>
    </row>
    <row r="583" spans="1:1">
      <c r="A583" t="str">
        <f>CONCATENATE("{'SheetId':'3d9f5a69-09d2-47bf-918c-13651271f903'",",","'UId':'669fbaaf-c2d8-42dc-a8b4-e1f66f141999'",",'Col':",COLUMN(BCLCGT_06262!D25),",'Row':",ROW(BCLCGT_06262!D25),",","'Format':'numberic'",",'Value':'",SUBSTITUTE(BCLCGT_06262!D25,"'","\'"),"','TargetCode':''}")</f>
        <v>{'SheetId':'3d9f5a69-09d2-47bf-918c-13651271f903','UId':'669fbaaf-c2d8-42dc-a8b4-e1f66f141999','Col':4,'Row':25,'Format':'numberic','Value':'-340832583','TargetCode':''}</v>
      </c>
    </row>
    <row r="584" spans="1:1">
      <c r="A584" t="str">
        <f>CONCATENATE("{'SheetId':'3d9f5a69-09d2-47bf-918c-13651271f903'",",","'UId':'e4c1b16f-6ea0-4630-aa13-65a69406ba9d'",",'Col':",COLUMN(BCLCGT_06262!E25),",'Row':",ROW(BCLCGT_06262!E25),",","'Format':'numberic'",",'Value':'",SUBSTITUTE(BCLCGT_06262!E25,"'","\'"),"','TargetCode':''}")</f>
        <v>{'SheetId':'3d9f5a69-09d2-47bf-918c-13651271f903','UId':'e4c1b16f-6ea0-4630-aa13-65a69406ba9d','Col':5,'Row':25,'Format':'numberic','Value':'-199951159','TargetCode':''}</v>
      </c>
    </row>
    <row r="585" spans="1:1">
      <c r="A585" t="str">
        <f>CONCATENATE("{'SheetId':'3d9f5a69-09d2-47bf-918c-13651271f903'",",","'UId':'de2bd1a8-d06f-46c2-bc87-d4718209382f'",",'Col':",COLUMN(BCLCGT_06262!C26),",'Row':",ROW(BCLCGT_06262!C26),",","'Format':'string'",",'Value':'",SUBSTITUTE(BCLCGT_06262!C26,"'","\'"),"','TargetCode':''}")</f>
        <v>{'SheetId':'3d9f5a69-09d2-47bf-918c-13651271f903','UId':'de2bd1a8-d06f-46c2-bc87-d4718209382f','Col':3,'Row':26,'Format':'string','Value':'','TargetCode':''}</v>
      </c>
    </row>
    <row r="586" spans="1:1">
      <c r="A586" t="str">
        <f>CONCATENATE("{'SheetId':'3d9f5a69-09d2-47bf-918c-13651271f903'",",","'UId':'81dfc9c5-d787-462f-8d35-b42f451eaee1'",",'Col':",COLUMN(BCLCGT_06262!D26),",'Row':",ROW(BCLCGT_06262!D26),",","'Format':'numberic'",",'Value':'",SUBSTITUTE(BCLCGT_06262!D26,"'","\'"),"','TargetCode':''}")</f>
        <v>{'SheetId':'3d9f5a69-09d2-47bf-918c-13651271f903','UId':'81dfc9c5-d787-462f-8d35-b42f451eaee1','Col':4,'Row':26,'Format':'numberic','Value':'0','TargetCode':''}</v>
      </c>
    </row>
    <row r="587" spans="1:1">
      <c r="A587" t="str">
        <f>CONCATENATE("{'SheetId':'3d9f5a69-09d2-47bf-918c-13651271f903'",",","'UId':'b6bf1ca1-9f62-4e04-8b0f-b968b3919ac8'",",'Col':",COLUMN(BCLCGT_06262!E26),",'Row':",ROW(BCLCGT_06262!E26),",","'Format':'numberic'",",'Value':'",SUBSTITUTE(BCLCGT_06262!E26,"'","\'"),"','TargetCode':''}")</f>
        <v>{'SheetId':'3d9f5a69-09d2-47bf-918c-13651271f903','UId':'b6bf1ca1-9f62-4e04-8b0f-b968b3919ac8','Col':5,'Row':26,'Format':'numberic','Value':'0','TargetCode':''}</v>
      </c>
    </row>
    <row r="588" spans="1:1">
      <c r="A588" t="str">
        <f>CONCATENATE("{'SheetId':'3d9f5a69-09d2-47bf-918c-13651271f903'",",","'UId':'d5257f3e-6cd9-47d2-a291-b6e0e9cf1587'",",'Col':",COLUMN(BCLCGT_06262!C27),",'Row':",ROW(BCLCGT_06262!C27),",","'Format':'string'",",'Value':'",SUBSTITUTE(BCLCGT_06262!C27,"'","\'"),"','TargetCode':''}")</f>
        <v>{'SheetId':'3d9f5a69-09d2-47bf-918c-13651271f903','UId':'d5257f3e-6cd9-47d2-a291-b6e0e9cf1587','Col':3,'Row':27,'Format':'string','Value':'','TargetCode':''}</v>
      </c>
    </row>
    <row r="589" spans="1:1">
      <c r="A589" t="str">
        <f>CONCATENATE("{'SheetId':'3d9f5a69-09d2-47bf-918c-13651271f903'",",","'UId':'379f454a-960e-4bc6-83d7-5826ef0aaebd'",",'Col':",COLUMN(BCLCGT_06262!D27),",'Row':",ROW(BCLCGT_06262!D27),",","'Format':'numberic'",",'Value':'",SUBSTITUTE(BCLCGT_06262!D27,"'","\'"),"','TargetCode':''}")</f>
        <v>{'SheetId':'3d9f5a69-09d2-47bf-918c-13651271f903','UId':'379f454a-960e-4bc6-83d7-5826ef0aaebd','Col':4,'Row':27,'Format':'numberic','Value':'0','TargetCode':''}</v>
      </c>
    </row>
    <row r="590" spans="1:1">
      <c r="A590" t="str">
        <f>CONCATENATE("{'SheetId':'3d9f5a69-09d2-47bf-918c-13651271f903'",",","'UId':'2deafefc-f1f8-4082-96ca-b9d9f73b3f6c'",",'Col':",COLUMN(BCLCGT_06262!E27),",'Row':",ROW(BCLCGT_06262!E27),",","'Format':'numberic'",",'Value':'",SUBSTITUTE(BCLCGT_06262!E27,"'","\'"),"','TargetCode':''}")</f>
        <v>{'SheetId':'3d9f5a69-09d2-47bf-918c-13651271f903','UId':'2deafefc-f1f8-4082-96ca-b9d9f73b3f6c','Col':5,'Row':27,'Format':'numberic','Value':'0','TargetCode':''}</v>
      </c>
    </row>
    <row r="591" spans="1:1">
      <c r="A591" t="str">
        <f>CONCATENATE("{'SheetId':'3d9f5a69-09d2-47bf-918c-13651271f903'",",","'UId':'692584eb-d73e-4081-9223-d18c8ca4e8cc'",",'Col':",COLUMN(BCLCGT_06262!C28),",'Row':",ROW(BCLCGT_06262!C28),",","'Format':'string'",",'Value':'",SUBSTITUTE(BCLCGT_06262!C28,"'","\'"),"','TargetCode':''}")</f>
        <v>{'SheetId':'3d9f5a69-09d2-47bf-918c-13651271f903','UId':'692584eb-d73e-4081-9223-d18c8ca4e8cc','Col':3,'Row':28,'Format':'string','Value':'','TargetCode':''}</v>
      </c>
    </row>
    <row r="592" spans="1:1">
      <c r="A592" t="str">
        <f>CONCATENATE("{'SheetId':'3d9f5a69-09d2-47bf-918c-13651271f903'",",","'UId':'73946d98-be55-48a0-b551-7e8eb971d2d3'",",'Col':",COLUMN(BCLCGT_06262!D28),",'Row':",ROW(BCLCGT_06262!D28),",","'Format':'numberic'",",'Value':'",SUBSTITUTE(BCLCGT_06262!D28,"'","\'"),"','TargetCode':''}")</f>
        <v>{'SheetId':'3d9f5a69-09d2-47bf-918c-13651271f903','UId':'73946d98-be55-48a0-b551-7e8eb971d2d3','Col':4,'Row':28,'Format':'numberic','Value':'0','TargetCode':''}</v>
      </c>
    </row>
    <row r="593" spans="1:1">
      <c r="A593" t="str">
        <f>CONCATENATE("{'SheetId':'3d9f5a69-09d2-47bf-918c-13651271f903'",",","'UId':'5f8797e7-1cc1-4a89-bb00-6422e3791806'",",'Col':",COLUMN(BCLCGT_06262!E28),",'Row':",ROW(BCLCGT_06262!E28),",","'Format':'numberic'",",'Value':'",SUBSTITUTE(BCLCGT_06262!E28,"'","\'"),"','TargetCode':''}")</f>
        <v>{'SheetId':'3d9f5a69-09d2-47bf-918c-13651271f903','UId':'5f8797e7-1cc1-4a89-bb00-6422e3791806','Col':5,'Row':28,'Format':'numberic','Value':'0','TargetCode':''}</v>
      </c>
    </row>
    <row r="594" spans="1:1">
      <c r="A594" t="str">
        <f>CONCATENATE("{'SheetId':'3d9f5a69-09d2-47bf-918c-13651271f903'",",","'UId':'ec28cd17-4c2a-4574-9e9c-e83a18ce0fe9'",",'Col':",COLUMN(BCLCGT_06262!C29),",'Row':",ROW(BCLCGT_06262!C29),",","'Format':'string'",",'Value':'",SUBSTITUTE(BCLCGT_06262!C29,"'","\'"),"','TargetCode':''}")</f>
        <v>{'SheetId':'3d9f5a69-09d2-47bf-918c-13651271f903','UId':'ec28cd17-4c2a-4574-9e9c-e83a18ce0fe9','Col':3,'Row':29,'Format':'string','Value':'','TargetCode':''}</v>
      </c>
    </row>
    <row r="595" spans="1:1">
      <c r="A595" t="str">
        <f>CONCATENATE("{'SheetId':'3d9f5a69-09d2-47bf-918c-13651271f903'",",","'UId':'364d4b5f-931b-4e2e-b306-3e2bca7bd302'",",'Col':",COLUMN(BCLCGT_06262!D29),",'Row':",ROW(BCLCGT_06262!D29),",","'Format':'numberic'",",'Value':'",SUBSTITUTE(BCLCGT_06262!D29,"'","\'"),"','TargetCode':''}")</f>
        <v>{'SheetId':'3d9f5a69-09d2-47bf-918c-13651271f903','UId':'364d4b5f-931b-4e2e-b306-3e2bca7bd302','Col':4,'Row':29,'Format':'numberic','Value':'-321688583','TargetCode':''}</v>
      </c>
    </row>
    <row r="596" spans="1:1">
      <c r="A596" t="str">
        <f>CONCATENATE("{'SheetId':'3d9f5a69-09d2-47bf-918c-13651271f903'",",","'UId':'03a2814e-1dc1-43d3-a4e6-9e1c45481715'",",'Col':",COLUMN(BCLCGT_06262!E29),",'Row':",ROW(BCLCGT_06262!E29),",","'Format':'numberic'",",'Value':'",SUBSTITUTE(BCLCGT_06262!E29,"'","\'"),"','TargetCode':''}")</f>
        <v>{'SheetId':'3d9f5a69-09d2-47bf-918c-13651271f903','UId':'03a2814e-1dc1-43d3-a4e6-9e1c45481715','Col':5,'Row':29,'Format':'numberic','Value':'-72451159','TargetCode':''}</v>
      </c>
    </row>
    <row r="597" spans="1:1">
      <c r="A597" t="str">
        <f>CONCATENATE("{'SheetId':'3d9f5a69-09d2-47bf-918c-13651271f903'",",","'UId':'6a87943e-85bd-4a13-b1d0-3e708a1947ef'",",'Col':",COLUMN(BCLCGT_06262!C30),",'Row':",ROW(BCLCGT_06262!C30),",","'Format':'string'",",'Value':'",SUBSTITUTE(BCLCGT_06262!C30,"'","\'"),"','TargetCode':''}")</f>
        <v>{'SheetId':'3d9f5a69-09d2-47bf-918c-13651271f903','UId':'6a87943e-85bd-4a13-b1d0-3e708a1947ef','Col':3,'Row':30,'Format':'string','Value':'','TargetCode':''}</v>
      </c>
    </row>
    <row r="598" spans="1:1">
      <c r="A598" t="str">
        <f>CONCATENATE("{'SheetId':'3d9f5a69-09d2-47bf-918c-13651271f903'",",","'UId':'64a93857-2847-4c7d-9a4f-3f4c6517ccec'",",'Col':",COLUMN(BCLCGT_06262!D30),",'Row':",ROW(BCLCGT_06262!D30),",","'Format':'numberic'",",'Value':'",SUBSTITUTE(BCLCGT_06262!D30,"'","\'"),"','TargetCode':''}")</f>
        <v>{'SheetId':'3d9f5a69-09d2-47bf-918c-13651271f903','UId':'64a93857-2847-4c7d-9a4f-3f4c6517ccec','Col':4,'Row':30,'Format':'numberic','Value':'-931276522','TargetCode':''}</v>
      </c>
    </row>
    <row r="599" spans="1:1">
      <c r="A599" t="str">
        <f>CONCATENATE("{'SheetId':'3d9f5a69-09d2-47bf-918c-13651271f903'",",","'UId':'5342f60c-da65-407d-a686-1b051c511b91'",",'Col':",COLUMN(BCLCGT_06262!E30),",'Row':",ROW(BCLCGT_06262!E30),",","'Format':'numberic'",",'Value':'",SUBSTITUTE(BCLCGT_06262!E30,"'","\'"),"','TargetCode':''}")</f>
        <v>{'SheetId':'3d9f5a69-09d2-47bf-918c-13651271f903','UId':'5342f60c-da65-407d-a686-1b051c511b91','Col':5,'Row':30,'Format':'numberic','Value':'9898606007','TargetCode':''}</v>
      </c>
    </row>
    <row r="600" spans="1:1">
      <c r="A600" t="str">
        <f>CONCATENATE("{'SheetId':'3d9f5a69-09d2-47bf-918c-13651271f903'",",","'UId':'5b686105-37dc-45be-9287-9ed4d452dac7'",",'Col':",COLUMN(BCLCGT_06262!C31),",'Row':",ROW(BCLCGT_06262!C31),",","'Format':'string'",",'Value':'",SUBSTITUTE(BCLCGT_06262!C31,"'","\'"),"','TargetCode':''}")</f>
        <v>{'SheetId':'3d9f5a69-09d2-47bf-918c-13651271f903','UId':'5b686105-37dc-45be-9287-9ed4d452dac7','Col':3,'Row':31,'Format':'string','Value':'','TargetCode':''}</v>
      </c>
    </row>
    <row r="601" spans="1:1">
      <c r="A601" t="str">
        <f>CONCATENATE("{'SheetId':'3d9f5a69-09d2-47bf-918c-13651271f903'",",","'UId':'2d1f1cf5-3c15-410f-bd30-0da2acf97536'",",'Col':",COLUMN(BCLCGT_06262!D31),",'Row':",ROW(BCLCGT_06262!D31),",","'Format':'numberic'",",'Value':'",SUBSTITUTE(BCLCGT_06262!D31,"'","\'"),"','TargetCode':''}")</f>
        <v>{'SheetId':'3d9f5a69-09d2-47bf-918c-13651271f903','UId':'2d1f1cf5-3c15-410f-bd30-0da2acf97536','Col':4,'Row':31,'Format':'numberic','Value':'2252557622','TargetCode':''}</v>
      </c>
    </row>
    <row r="602" spans="1:1">
      <c r="A602" t="str">
        <f>CONCATENATE("{'SheetId':'3d9f5a69-09d2-47bf-918c-13651271f903'",",","'UId':'b422aad8-8b82-43c4-b447-ddbb90b52424'",",'Col':",COLUMN(BCLCGT_06262!E31),",'Row':",ROW(BCLCGT_06262!E31),",","'Format':'numberic'",",'Value':'",SUBSTITUTE(BCLCGT_06262!E31,"'","\'"),"','TargetCode':''}")</f>
        <v>{'SheetId':'3d9f5a69-09d2-47bf-918c-13651271f903','UId':'b422aad8-8b82-43c4-b447-ddbb90b52424','Col':5,'Row':31,'Format':'numberic','Value':'2365222439','TargetCode':''}</v>
      </c>
    </row>
    <row r="603" spans="1:1">
      <c r="A603" t="str">
        <f>CONCATENATE("{'SheetId':'3d9f5a69-09d2-47bf-918c-13651271f903'",",","'UId':'549c217c-b41d-48df-96c0-1ec78b10d32f'",",'Col':",COLUMN(BCLCGT_06262!C32),",'Row':",ROW(BCLCGT_06262!C32),",","'Format':'string'",",'Value':'",SUBSTITUTE(BCLCGT_06262!C32,"'","\'"),"','TargetCode':''}")</f>
        <v>{'SheetId':'3d9f5a69-09d2-47bf-918c-13651271f903','UId':'549c217c-b41d-48df-96c0-1ec78b10d32f','Col':3,'Row':32,'Format':'string','Value':'','TargetCode':''}</v>
      </c>
    </row>
    <row r="604" spans="1:1">
      <c r="A604" t="str">
        <f>CONCATENATE("{'SheetId':'3d9f5a69-09d2-47bf-918c-13651271f903'",",","'UId':'0e4a6a39-71f5-4a94-9aa5-65f8fdbfaa82'",",'Col':",COLUMN(BCLCGT_06262!D32),",'Row':",ROW(BCLCGT_06262!D32),",","'Format':'numberic'",",'Value':'",SUBSTITUTE(BCLCGT_06262!D32,"'","\'"),"','TargetCode':''}")</f>
        <v>{'SheetId':'3d9f5a69-09d2-47bf-918c-13651271f903','UId':'0e4a6a39-71f5-4a94-9aa5-65f8fdbfaa82','Col':4,'Row':32,'Format':'numberic','Value':'2252557622','TargetCode':''}</v>
      </c>
    </row>
    <row r="605" spans="1:1">
      <c r="A605" t="str">
        <f>CONCATENATE("{'SheetId':'3d9f5a69-09d2-47bf-918c-13651271f903'",",","'UId':'1b4a4b14-6a5c-473a-a459-5270c10ded8d'",",'Col':",COLUMN(BCLCGT_06262!E32),",'Row':",ROW(BCLCGT_06262!E32),",","'Format':'numberic'",",'Value':'",SUBSTITUTE(BCLCGT_06262!E32,"'","\'"),"','TargetCode':''}")</f>
        <v>{'SheetId':'3d9f5a69-09d2-47bf-918c-13651271f903','UId':'1b4a4b14-6a5c-473a-a459-5270c10ded8d','Col':5,'Row':32,'Format':'numberic','Value':'2365222439','TargetCode':''}</v>
      </c>
    </row>
    <row r="606" spans="1:1">
      <c r="A606" t="str">
        <f>CONCATENATE("{'SheetId':'3d9f5a69-09d2-47bf-918c-13651271f903'",",","'UId':'70916abd-5946-4618-ae0c-7869c57fe843'",",'Col':",COLUMN(BCLCGT_06262!C33),",'Row':",ROW(BCLCGT_06262!C33),",","'Format':'string'",",'Value':'",SUBSTITUTE(BCLCGT_06262!C33,"'","\'"),"','TargetCode':''}")</f>
        <v>{'SheetId':'3d9f5a69-09d2-47bf-918c-13651271f903','UId':'70916abd-5946-4618-ae0c-7869c57fe843','Col':3,'Row':33,'Format':'string','Value':'','TargetCode':''}</v>
      </c>
    </row>
    <row r="607" spans="1:1">
      <c r="A607" t="str">
        <f>CONCATENATE("{'SheetId':'3d9f5a69-09d2-47bf-918c-13651271f903'",",","'UId':'432951a7-5473-446e-807c-3dd7ccf3bb6e'",",'Col':",COLUMN(BCLCGT_06262!D33),",'Row':",ROW(BCLCGT_06262!D33),",","'Format':'numberic'",",'Value':'",SUBSTITUTE(BCLCGT_06262!D33,"'","\'"),"','TargetCode':''}")</f>
        <v>{'SheetId':'3d9f5a69-09d2-47bf-918c-13651271f903','UId':'432951a7-5473-446e-807c-3dd7ccf3bb6e','Col':4,'Row':33,'Format':'numberic','Value':'2252557622','TargetCode':''}</v>
      </c>
    </row>
    <row r="608" spans="1:1">
      <c r="A608" t="str">
        <f>CONCATENATE("{'SheetId':'3d9f5a69-09d2-47bf-918c-13651271f903'",",","'UId':'bacc9565-ffff-4501-a884-c8d4d47a6dcb'",",'Col':",COLUMN(BCLCGT_06262!E33),",'Row':",ROW(BCLCGT_06262!E33),",","'Format':'numberic'",",'Value':'",SUBSTITUTE(BCLCGT_06262!E33,"'","\'"),"','TargetCode':''}")</f>
        <v>{'SheetId':'3d9f5a69-09d2-47bf-918c-13651271f903','UId':'bacc9565-ffff-4501-a884-c8d4d47a6dcb','Col':5,'Row':33,'Format':'numberic','Value':'2365222439','TargetCode':''}</v>
      </c>
    </row>
    <row r="609" spans="1:1">
      <c r="A609" t="str">
        <f>CONCATENATE("{'SheetId':'3d9f5a69-09d2-47bf-918c-13651271f903'",",","'UId':'b58e26cd-4c35-4995-bdae-3723a8af6067'",",'Col':",COLUMN(BCLCGT_06262!C34),",'Row':",ROW(BCLCGT_06262!C34),",","'Format':'string'",",'Value':'",SUBSTITUTE(BCLCGT_06262!C34,"'","\'"),"','TargetCode':''}")</f>
        <v>{'SheetId':'3d9f5a69-09d2-47bf-918c-13651271f903','UId':'b58e26cd-4c35-4995-bdae-3723a8af6067','Col':3,'Row':34,'Format':'string','Value':'','TargetCode':''}</v>
      </c>
    </row>
    <row r="610" spans="1:1">
      <c r="A610" t="str">
        <f>CONCATENATE("{'SheetId':'3d9f5a69-09d2-47bf-918c-13651271f903'",",","'UId':'fd8c3047-89a9-4927-94c5-ae426a227303'",",'Col':",COLUMN(BCLCGT_06262!D34),",'Row':",ROW(BCLCGT_06262!D34),",","'Format':'numberic'",",'Value':'",SUBSTITUTE(BCLCGT_06262!D34,"'","\'"),"','TargetCode':''}")</f>
        <v>{'SheetId':'3d9f5a69-09d2-47bf-918c-13651271f903','UId':'fd8c3047-89a9-4927-94c5-ae426a227303','Col':4,'Row':34,'Format':'numberic','Value':'2252557622','TargetCode':''}</v>
      </c>
    </row>
    <row r="611" spans="1:1">
      <c r="A611" t="str">
        <f>CONCATENATE("{'SheetId':'3d9f5a69-09d2-47bf-918c-13651271f903'",",","'UId':'84b630d0-23c5-43d7-8937-a5b67f9df5c1'",",'Col':",COLUMN(BCLCGT_06262!E34),",'Row':",ROW(BCLCGT_06262!E34),",","'Format':'numberic'",",'Value':'",SUBSTITUTE(BCLCGT_06262!E34,"'","\'"),"','TargetCode':''}")</f>
        <v>{'SheetId':'3d9f5a69-09d2-47bf-918c-13651271f903','UId':'84b630d0-23c5-43d7-8937-a5b67f9df5c1','Col':5,'Row':34,'Format':'numberic','Value':'2365222439','TargetCode':''}</v>
      </c>
    </row>
    <row r="612" spans="1:1">
      <c r="A612" t="str">
        <f>CONCATENATE("{'SheetId':'3d9f5a69-09d2-47bf-918c-13651271f903'",",","'UId':'abb80b53-a785-40b2-89a4-b86743a7b032'",",'Col':",COLUMN(BCLCGT_06262!C35),",'Row':",ROW(BCLCGT_06262!C35),",","'Format':'string'",",'Value':'",SUBSTITUTE(BCLCGT_06262!C35,"'","\'"),"','TargetCode':''}")</f>
        <v>{'SheetId':'3d9f5a69-09d2-47bf-918c-13651271f903','UId':'abb80b53-a785-40b2-89a4-b86743a7b032','Col':3,'Row':35,'Format':'string','Value':'','TargetCode':''}</v>
      </c>
    </row>
    <row r="613" spans="1:1">
      <c r="A613" t="str">
        <f>CONCATENATE("{'SheetId':'3d9f5a69-09d2-47bf-918c-13651271f903'",",","'UId':'b1f5f877-47e7-4c2f-ad12-0105bb9ca245'",",'Col':",COLUMN(BCLCGT_06262!D35),",'Row':",ROW(BCLCGT_06262!D35),",","'Format':'numberic'",",'Value':'",SUBSTITUTE(BCLCGT_06262!D35,"'","\'"),"','TargetCode':''}")</f>
        <v>{'SheetId':'3d9f5a69-09d2-47bf-918c-13651271f903','UId':'b1f5f877-47e7-4c2f-ad12-0105bb9ca245','Col':4,'Row':35,'Format':'numberic','Value':'0','TargetCode':''}</v>
      </c>
    </row>
    <row r="614" spans="1:1">
      <c r="A614" t="str">
        <f>CONCATENATE("{'SheetId':'3d9f5a69-09d2-47bf-918c-13651271f903'",",","'UId':'1deb36df-dfc9-41ce-a44f-01a697cf5824'",",'Col':",COLUMN(BCLCGT_06262!E35),",'Row':",ROW(BCLCGT_06262!E35),",","'Format':'numberic'",",'Value':'",SUBSTITUTE(BCLCGT_06262!E35,"'","\'"),"','TargetCode':''}")</f>
        <v>{'SheetId':'3d9f5a69-09d2-47bf-918c-13651271f903','UId':'1deb36df-dfc9-41ce-a44f-01a697cf5824','Col':5,'Row':35,'Format':'numberic','Value':'0','TargetCode':''}</v>
      </c>
    </row>
    <row r="615" spans="1:1">
      <c r="A615" t="str">
        <f>CONCATENATE("{'SheetId':'3d9f5a69-09d2-47bf-918c-13651271f903'",",","'UId':'b7a7f796-209c-4595-8803-ac422d19800f'",",'Col':",COLUMN(BCLCGT_06262!C36),",'Row':",ROW(BCLCGT_06262!C36),",","'Format':'string'",",'Value':'",SUBSTITUTE(BCLCGT_06262!C36,"'","\'"),"','TargetCode':''}")</f>
        <v>{'SheetId':'3d9f5a69-09d2-47bf-918c-13651271f903','UId':'b7a7f796-209c-4595-8803-ac422d19800f','Col':3,'Row':36,'Format':'string','Value':'','TargetCode':''}</v>
      </c>
    </row>
    <row r="616" spans="1:1">
      <c r="A616" t="str">
        <f>CONCATENATE("{'SheetId':'3d9f5a69-09d2-47bf-918c-13651271f903'",",","'UId':'9a8e209d-5f06-407b-a1ff-09e031301027'",",'Col':",COLUMN(BCLCGT_06262!D36),",'Row':",ROW(BCLCGT_06262!D36),",","'Format':'numberic'",",'Value':'",SUBSTITUTE(BCLCGT_06262!D36,"'","\'"),"','TargetCode':''}")</f>
        <v>{'SheetId':'3d9f5a69-09d2-47bf-918c-13651271f903','UId':'9a8e209d-5f06-407b-a1ff-09e031301027','Col':4,'Row':36,'Format':'numberic','Value':'0','TargetCode':''}</v>
      </c>
    </row>
    <row r="617" spans="1:1">
      <c r="A617" t="str">
        <f>CONCATENATE("{'SheetId':'3d9f5a69-09d2-47bf-918c-13651271f903'",",","'UId':'27d3ccfa-ee82-45ac-8782-fcf1e4668812'",",'Col':",COLUMN(BCLCGT_06262!E36),",'Row':",ROW(BCLCGT_06262!E36),",","'Format':'numberic'",",'Value':'",SUBSTITUTE(BCLCGT_06262!E36,"'","\'"),"','TargetCode':''}")</f>
        <v>{'SheetId':'3d9f5a69-09d2-47bf-918c-13651271f903','UId':'27d3ccfa-ee82-45ac-8782-fcf1e4668812','Col':5,'Row':36,'Format':'numberic','Value':'0','TargetCode':''}</v>
      </c>
    </row>
    <row r="618" spans="1:1">
      <c r="A618" t="str">
        <f>CONCATENATE("{'SheetId':'3d9f5a69-09d2-47bf-918c-13651271f903'",",","'UId':'8ef47992-26f9-4743-ae2a-21d7bf99a49d'",",'Col':",COLUMN(BCLCGT_06262!C37),",'Row':",ROW(BCLCGT_06262!C37),",","'Format':'string'",",'Value':'",SUBSTITUTE(BCLCGT_06262!C37,"'","\'"),"','TargetCode':''}")</f>
        <v>{'SheetId':'3d9f5a69-09d2-47bf-918c-13651271f903','UId':'8ef47992-26f9-4743-ae2a-21d7bf99a49d','Col':3,'Row':37,'Format':'string','Value':'','TargetCode':''}</v>
      </c>
    </row>
    <row r="619" spans="1:1">
      <c r="A619" t="str">
        <f>CONCATENATE("{'SheetId':'3d9f5a69-09d2-47bf-918c-13651271f903'",",","'UId':'2e6dd567-0d51-415f-a43b-47b68ee70304'",",'Col':",COLUMN(BCLCGT_06262!D37),",'Row':",ROW(BCLCGT_06262!D37),",","'Format':'numberic'",",'Value':'",SUBSTITUTE(BCLCGT_06262!D37,"'","\'"),"','TargetCode':''}")</f>
        <v>{'SheetId':'3d9f5a69-09d2-47bf-918c-13651271f903','UId':'2e6dd567-0d51-415f-a43b-47b68ee70304','Col':4,'Row':37,'Format':'numberic','Value':'0','TargetCode':''}</v>
      </c>
    </row>
    <row r="620" spans="1:1">
      <c r="A620" t="str">
        <f>CONCATENATE("{'SheetId':'3d9f5a69-09d2-47bf-918c-13651271f903'",",","'UId':'5aca5568-0da5-43d9-b612-b5efe71c8c8c'",",'Col':",COLUMN(BCLCGT_06262!E37),",'Row':",ROW(BCLCGT_06262!E37),",","'Format':'numberic'",",'Value':'",SUBSTITUTE(BCLCGT_06262!E37,"'","\'"),"','TargetCode':''}")</f>
        <v>{'SheetId':'3d9f5a69-09d2-47bf-918c-13651271f903','UId':'5aca5568-0da5-43d9-b612-b5efe71c8c8c','Col':5,'Row':37,'Format':'numberic','Value':'0','TargetCode':''}</v>
      </c>
    </row>
    <row r="621" spans="1:1">
      <c r="A621" t="str">
        <f>CONCATENATE("{'SheetId':'3d9f5a69-09d2-47bf-918c-13651271f903'",",","'UId':'004f47af-2e5e-447b-b303-f4794de00a90'",",'Col':",COLUMN(BCLCGT_06262!C38),",'Row':",ROW(BCLCGT_06262!C38),",","'Format':'string'",",'Value':'",SUBSTITUTE(BCLCGT_06262!C38,"'","\'"),"','TargetCode':''}")</f>
        <v>{'SheetId':'3d9f5a69-09d2-47bf-918c-13651271f903','UId':'004f47af-2e5e-447b-b303-f4794de00a90','Col':3,'Row':38,'Format':'string','Value':'','TargetCode':''}</v>
      </c>
    </row>
    <row r="622" spans="1:1">
      <c r="A622" t="str">
        <f>CONCATENATE("{'SheetId':'3d9f5a69-09d2-47bf-918c-13651271f903'",",","'UId':'84b32707-fbb2-441a-9b8c-93e209b9d1fa'",",'Col':",COLUMN(BCLCGT_06262!D38),",'Row':",ROW(BCLCGT_06262!D38),",","'Format':'numberic'",",'Value':'",SUBSTITUTE(BCLCGT_06262!D38,"'","\'"),"','TargetCode':''}")</f>
        <v>{'SheetId':'3d9f5a69-09d2-47bf-918c-13651271f903','UId':'84b32707-fbb2-441a-9b8c-93e209b9d1fa','Col':4,'Row':38,'Format':'numberic','Value':'0','TargetCode':''}</v>
      </c>
    </row>
    <row r="623" spans="1:1">
      <c r="A623" t="str">
        <f>CONCATENATE("{'SheetId':'3d9f5a69-09d2-47bf-918c-13651271f903'",",","'UId':'c783027b-fb1b-4cac-865e-9749eefa4f6a'",",'Col':",COLUMN(BCLCGT_06262!E38),",'Row':",ROW(BCLCGT_06262!E38),",","'Format':'numberic'",",'Value':'",SUBSTITUTE(BCLCGT_06262!E38,"'","\'"),"','TargetCode':''}")</f>
        <v>{'SheetId':'3d9f5a69-09d2-47bf-918c-13651271f903','UId':'c783027b-fb1b-4cac-865e-9749eefa4f6a','Col':5,'Row':38,'Format':'numberic','Value':'0','TargetCode':''}</v>
      </c>
    </row>
    <row r="624" spans="1:1">
      <c r="A624" t="str">
        <f>CONCATENATE("{'SheetId':'3d9f5a69-09d2-47bf-918c-13651271f903'",",","'UId':'25c73e70-6cb6-44ca-b5c2-8665d2ac8c85'",",'Col':",COLUMN(BCLCGT_06262!C39),",'Row':",ROW(BCLCGT_06262!C39),",","'Format':'string'",",'Value':'",SUBSTITUTE(BCLCGT_06262!C39,"'","\'"),"','TargetCode':''}")</f>
        <v>{'SheetId':'3d9f5a69-09d2-47bf-918c-13651271f903','UId':'25c73e70-6cb6-44ca-b5c2-8665d2ac8c85','Col':3,'Row':39,'Format':'string','Value':'','TargetCode':''}</v>
      </c>
    </row>
    <row r="625" spans="1:1">
      <c r="A625" t="str">
        <f>CONCATENATE("{'SheetId':'3d9f5a69-09d2-47bf-918c-13651271f903'",",","'UId':'c5b0f87f-379c-44bd-8ec8-f0c52ff33516'",",'Col':",COLUMN(BCLCGT_06262!D39),",'Row':",ROW(BCLCGT_06262!D39),",","'Format':'numberic'",",'Value':'",SUBSTITUTE(BCLCGT_06262!D39,"'","\'"),"','TargetCode':''}")</f>
        <v>{'SheetId':'3d9f5a69-09d2-47bf-918c-13651271f903','UId':'c5b0f87f-379c-44bd-8ec8-f0c52ff33516','Col':4,'Row':39,'Format':'numberic','Value':'1321281100','TargetCode':''}</v>
      </c>
    </row>
    <row r="626" spans="1:1">
      <c r="A626" t="str">
        <f>CONCATENATE("{'SheetId':'3d9f5a69-09d2-47bf-918c-13651271f903'",",","'UId':'3f3974e6-35b4-4547-987d-1a6f639e965c'",",'Col':",COLUMN(BCLCGT_06262!E39),",'Row':",ROW(BCLCGT_06262!E39),",","'Format':'numberic'",",'Value':'",SUBSTITUTE(BCLCGT_06262!E39,"'","\'"),"','TargetCode':''}")</f>
        <v>{'SheetId':'3d9f5a69-09d2-47bf-918c-13651271f903','UId':'3f3974e6-35b4-4547-987d-1a6f639e965c','Col':5,'Row':39,'Format':'numberic','Value':'12263828446','TargetCode':''}</v>
      </c>
    </row>
    <row r="627" spans="1:1">
      <c r="A627" t="str">
        <f>CONCATENATE("{'SheetId':'3d9f5a69-09d2-47bf-918c-13651271f903'",",","'UId':'08bab8bf-2314-46e9-8faa-f79985a418eb'",",'Col':",COLUMN(BCLCGT_06262!C40),",'Row':",ROW(BCLCGT_06262!C40),",","'Format':'string'",",'Value':'",SUBSTITUTE(BCLCGT_06262!C40,"'","\'"),"','TargetCode':''}")</f>
        <v>{'SheetId':'3d9f5a69-09d2-47bf-918c-13651271f903','UId':'08bab8bf-2314-46e9-8faa-f79985a418eb','Col':3,'Row':40,'Format':'string','Value':'','TargetCode':''}</v>
      </c>
    </row>
    <row r="628" spans="1:1">
      <c r="A628" t="str">
        <f>CONCATENATE("{'SheetId':'3d9f5a69-09d2-47bf-918c-13651271f903'",",","'UId':'e9669dd7-8457-4fe7-adac-3aef8b5257e8'",",'Col':",COLUMN(BCLCGT_06262!D40),",'Row':",ROW(BCLCGT_06262!D40),",","'Format':'numberic'",",'Value':'",SUBSTITUTE(BCLCGT_06262!D40,"'","\'"),"','TargetCode':''}")</f>
        <v>{'SheetId':'3d9f5a69-09d2-47bf-918c-13651271f903','UId':'e9669dd7-8457-4fe7-adac-3aef8b5257e8','Col':4,'Row':40,'Format':'numberic','Value':'1321281100','TargetCode':''}</v>
      </c>
    </row>
    <row r="629" spans="1:1">
      <c r="A629" t="str">
        <f>CONCATENATE("{'SheetId':'3d9f5a69-09d2-47bf-918c-13651271f903'",",","'UId':'5801bdd1-7207-4361-a2fe-e0850a073e72'",",'Col':",COLUMN(BCLCGT_06262!E40),",'Row':",ROW(BCLCGT_06262!E40),",","'Format':'numberic'",",'Value':'",SUBSTITUTE(BCLCGT_06262!E40,"'","\'"),"','TargetCode':''}")</f>
        <v>{'SheetId':'3d9f5a69-09d2-47bf-918c-13651271f903','UId':'5801bdd1-7207-4361-a2fe-e0850a073e72','Col':5,'Row':40,'Format':'numberic','Value':'12263828446','TargetCode':''}</v>
      </c>
    </row>
    <row r="630" spans="1:1">
      <c r="A630" t="str">
        <f>CONCATENATE("{'SheetId':'3d9f5a69-09d2-47bf-918c-13651271f903'",",","'UId':'864b1f4b-65b3-439b-9347-03ed9e18b0df'",",'Col':",COLUMN(BCLCGT_06262!C41),",'Row':",ROW(BCLCGT_06262!C41),",","'Format':'string'",",'Value':'",SUBSTITUTE(BCLCGT_06262!C41,"'","\'"),"','TargetCode':''}")</f>
        <v>{'SheetId':'3d9f5a69-09d2-47bf-918c-13651271f903','UId':'864b1f4b-65b3-439b-9347-03ed9e18b0df','Col':3,'Row':41,'Format':'string','Value':'','TargetCode':''}</v>
      </c>
    </row>
    <row r="631" spans="1:1">
      <c r="A631" t="str">
        <f>CONCATENATE("{'SheetId':'3d9f5a69-09d2-47bf-918c-13651271f903'",",","'UId':'2f5d0db8-39ea-4e7a-9b1b-3d9a12f11643'",",'Col':",COLUMN(BCLCGT_06262!D41),",'Row':",ROW(BCLCGT_06262!D41),",","'Format':'numberic'",",'Value':'",SUBSTITUTE(BCLCGT_06262!D41,"'","\'"),"','TargetCode':''}")</f>
        <v>{'SheetId':'3d9f5a69-09d2-47bf-918c-13651271f903','UId':'2f5d0db8-39ea-4e7a-9b1b-3d9a12f11643','Col':4,'Row':41,'Format':'numberic','Value':'1321281100','TargetCode':''}</v>
      </c>
    </row>
    <row r="632" spans="1:1">
      <c r="A632" t="str">
        <f>CONCATENATE("{'SheetId':'3d9f5a69-09d2-47bf-918c-13651271f903'",",","'UId':'d9146d17-7026-49b4-90c3-4bfb0f10f155'",",'Col':",COLUMN(BCLCGT_06262!E41),",'Row':",ROW(BCLCGT_06262!E41),",","'Format':'numberic'",",'Value':'",SUBSTITUTE(BCLCGT_06262!E41,"'","\'"),"','TargetCode':''}")</f>
        <v>{'SheetId':'3d9f5a69-09d2-47bf-918c-13651271f903','UId':'d9146d17-7026-49b4-90c3-4bfb0f10f155','Col':5,'Row':41,'Format':'numberic','Value':'12261828446','TargetCode':''}</v>
      </c>
    </row>
    <row r="633" spans="1:1">
      <c r="A633" t="str">
        <f>CONCATENATE("{'SheetId':'3d9f5a69-09d2-47bf-918c-13651271f903'",",","'UId':'e9c95d35-7199-4b5d-9474-16738f56f930'",",'Col':",COLUMN(BCLCGT_06262!C42),",'Row':",ROW(BCLCGT_06262!C42),",","'Format':'string'",",'Value':'",SUBSTITUTE(BCLCGT_06262!C42,"'","\'"),"','TargetCode':''}")</f>
        <v>{'SheetId':'3d9f5a69-09d2-47bf-918c-13651271f903','UId':'e9c95d35-7199-4b5d-9474-16738f56f930','Col':3,'Row':42,'Format':'string','Value':'','TargetCode':''}</v>
      </c>
    </row>
    <row r="634" spans="1:1">
      <c r="A634" t="str">
        <f>CONCATENATE("{'SheetId':'3d9f5a69-09d2-47bf-918c-13651271f903'",",","'UId':'5e1aa346-70e1-46a3-b0ae-72adda8ef884'",",'Col':",COLUMN(BCLCGT_06262!D42),",'Row':",ROW(BCLCGT_06262!D42),",","'Format':'numberic'",",'Value':'",SUBSTITUTE(BCLCGT_06262!D42,"'","\'"),"','TargetCode':''}")</f>
        <v>{'SheetId':'3d9f5a69-09d2-47bf-918c-13651271f903','UId':'5e1aa346-70e1-46a3-b0ae-72adda8ef884','Col':4,'Row':42,'Format':'numberic','Value':'1321281100','TargetCode':''}</v>
      </c>
    </row>
    <row r="635" spans="1:1">
      <c r="A635" t="str">
        <f>CONCATENATE("{'SheetId':'3d9f5a69-09d2-47bf-918c-13651271f903'",",","'UId':'3ac668ad-f8b1-4daf-9a63-4816a7e484e4'",",'Col':",COLUMN(BCLCGT_06262!E42),",'Row':",ROW(BCLCGT_06262!E42),",","'Format':'numberic'",",'Value':'",SUBSTITUTE(BCLCGT_06262!E42,"'","\'"),"','TargetCode':''}")</f>
        <v>{'SheetId':'3d9f5a69-09d2-47bf-918c-13651271f903','UId':'3ac668ad-f8b1-4daf-9a63-4816a7e484e4','Col':5,'Row':42,'Format':'numberic','Value':'261828446','TargetCode':''}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Tong quat</vt:lpstr>
      <vt:lpstr>BCThuNhap_06203</vt:lpstr>
      <vt:lpstr>BCTinhHinhTaiChinh_06105</vt:lpstr>
      <vt:lpstr>BCLCTT_06106</vt:lpstr>
      <vt:lpstr>GTTSRong_06107</vt:lpstr>
      <vt:lpstr>BCDMDT_06108</vt:lpstr>
      <vt:lpstr>BCLCGT_06262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Nong Thi Lan, Nhi</dc:creator>
  <cp:lastModifiedBy>Nguyen1, Hoang</cp:lastModifiedBy>
  <dcterms:created xsi:type="dcterms:W3CDTF">2021-07-27T11:48:20Z</dcterms:created>
  <dcterms:modified xsi:type="dcterms:W3CDTF">2021-07-28T12:29:37Z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iteId">
    <vt:lpwstr>b44900f1-2def-4c3b-9ec6-9020d604e19e</vt:lpwstr>
  </property>
  <property fmtid="{D5CDD505-2E9C-101B-9397-08002B2CF9AE}" pid="6" name="MSIP_Label_ebbfc019-7f88-4fb6-96d6-94ffadd4b772_Owner">
    <vt:lpwstr>1616876@zone1.scb.net</vt:lpwstr>
  </property>
  <property fmtid="{D5CDD505-2E9C-101B-9397-08002B2CF9AE}" pid="7" name="MSIP_Label_ebbfc019-7f88-4fb6-96d6-94ffadd4b772_SetDate">
    <vt:lpwstr>2021-07-27T11:47:40.6096472Z</vt:lpwstr>
  </property>
  <property fmtid="{D5CDD505-2E9C-101B-9397-08002B2CF9AE}" pid="8" name="MSIP_Label_ebbfc019-7f88-4fb6-96d6-94ffadd4b772_Name">
    <vt:lpwstr>Public</vt:lpwstr>
  </property>
  <property fmtid="{D5CDD505-2E9C-101B-9397-08002B2CF9AE}" pid="9" name="MSIP_Label_ebbfc019-7f88-4fb6-96d6-94ffadd4b772_Application">
    <vt:lpwstr>Microsoft Azure Information Protection</vt:lpwstr>
  </property>
  <property fmtid="{D5CDD505-2E9C-101B-9397-08002B2CF9AE}" pid="10" name="MSIP_Label_ebbfc019-7f88-4fb6-96d6-94ffadd4b772_ActionId">
    <vt:lpwstr>0c740d50-7066-4f9f-8584-71e9743bc0a6</vt:lpwstr>
  </property>
  <property fmtid="{D5CDD505-2E9C-101B-9397-08002B2CF9AE}" pid="11" name="MSIP_Label_ebbfc019-7f88-4fb6-96d6-94ffadd4b772_Extended_MSFT_Method">
    <vt:lpwstr>Manual</vt:lpwstr>
  </property>
  <property fmtid="{D5CDD505-2E9C-101B-9397-08002B2CF9AE}" pid="12" name="Sensitivity">
    <vt:lpwstr>Public</vt:lpwstr>
  </property>
</Properties>
</file>